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UNCIL\COUNCIL TRANSPORTATION BENEFIT DISTRICT\TBD BUDGET\"/>
    </mc:Choice>
  </mc:AlternateContent>
  <xr:revisionPtr revIDLastSave="0" documentId="13_ncr:1_{E25FC767-5F5F-486F-A393-C9DF957823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H19" i="1" l="1"/>
  <c r="H20" i="1" s="1"/>
  <c r="J19" i="1"/>
  <c r="D18" i="1"/>
  <c r="B18" i="1" s="1"/>
  <c r="K19" i="1" l="1"/>
  <c r="J18" i="1"/>
  <c r="H18" i="1"/>
  <c r="D17" i="1"/>
  <c r="B17" i="1"/>
  <c r="J17" i="1" s="1"/>
  <c r="K18" i="1" l="1"/>
  <c r="H17" i="1"/>
  <c r="K17" i="1" s="1"/>
  <c r="J16" i="1" l="1"/>
  <c r="F20" i="1"/>
  <c r="G20" i="1"/>
  <c r="H16" i="1" l="1"/>
  <c r="D15" i="1"/>
  <c r="B15" i="1"/>
  <c r="H15" i="1" s="1"/>
  <c r="J15" i="1"/>
  <c r="B14" i="1"/>
  <c r="D14" i="1"/>
  <c r="C14" i="1"/>
  <c r="D13" i="1"/>
  <c r="C13" i="1"/>
  <c r="B13" i="1"/>
  <c r="K16" i="1" l="1"/>
  <c r="J14" i="1"/>
  <c r="H13" i="1"/>
  <c r="K15" i="1"/>
  <c r="H14" i="1"/>
  <c r="J13" i="1"/>
  <c r="B12" i="1"/>
  <c r="K14" i="1" l="1"/>
  <c r="K13" i="1"/>
  <c r="C12" i="1"/>
  <c r="C20" i="1" s="1"/>
  <c r="J12" i="1" l="1"/>
  <c r="H12" i="1"/>
  <c r="K12" i="1"/>
  <c r="B5" i="1"/>
  <c r="D11" i="1"/>
  <c r="B11" i="1"/>
  <c r="J11" i="1" s="1"/>
  <c r="D10" i="1"/>
  <c r="B10" i="1"/>
  <c r="E9" i="1"/>
  <c r="E8" i="1"/>
  <c r="E7" i="1"/>
  <c r="E6" i="1"/>
  <c r="E5" i="1"/>
  <c r="E20" i="1" s="1"/>
  <c r="B9" i="1"/>
  <c r="D9" i="1"/>
  <c r="B8" i="1"/>
  <c r="D8" i="1"/>
  <c r="B7" i="1"/>
  <c r="D7" i="1"/>
  <c r="B6" i="1"/>
  <c r="D6" i="1"/>
  <c r="D5" i="1"/>
  <c r="J7" i="1" l="1"/>
  <c r="J10" i="1"/>
  <c r="B20" i="1"/>
  <c r="D20" i="1"/>
  <c r="J8" i="1"/>
  <c r="J5" i="1"/>
  <c r="H5" i="1"/>
  <c r="J9" i="1"/>
  <c r="J6" i="1"/>
  <c r="H9" i="1"/>
  <c r="H11" i="1"/>
  <c r="K11" i="1" s="1"/>
  <c r="H10" i="1"/>
  <c r="H7" i="1"/>
  <c r="H8" i="1"/>
  <c r="H6" i="1"/>
  <c r="B21" i="1" l="1"/>
  <c r="J20" i="1"/>
  <c r="K9" i="1"/>
  <c r="K5" i="1"/>
  <c r="K10" i="1"/>
  <c r="K8" i="1"/>
  <c r="K7" i="1"/>
  <c r="K6" i="1"/>
  <c r="K20" i="1" l="1"/>
  <c r="H21" i="1"/>
  <c r="G21" i="1"/>
  <c r="F21" i="1"/>
  <c r="C21" i="1"/>
  <c r="D21" i="1"/>
  <c r="E21" i="1"/>
</calcChain>
</file>

<file path=xl/sharedStrings.xml><?xml version="1.0" encoding="utf-8"?>
<sst xmlns="http://schemas.openxmlformats.org/spreadsheetml/2006/main" count="78" uniqueCount="52">
  <si>
    <t>TBD Project Funding</t>
  </si>
  <si>
    <t>Total</t>
  </si>
  <si>
    <t>Major Projects Completed by Year</t>
  </si>
  <si>
    <t>TBD Total Funds Combined</t>
  </si>
  <si>
    <t>Totals</t>
  </si>
  <si>
    <t>TBD % of Total Transportation Related Dollars</t>
  </si>
  <si>
    <t>TBD Streets &amp; Sidewalk Maintenance</t>
  </si>
  <si>
    <t>Double Shot Sealcoating Ash &amp; Summit</t>
  </si>
  <si>
    <t>Reconstruction of Front Street (Division—14th)</t>
  </si>
  <si>
    <t>Double Shot Sealcoating River, Prospect, Cedar Streets</t>
  </si>
  <si>
    <t>Intersection Improvements (Evans &amp; Benton)</t>
  </si>
  <si>
    <t>Commercial Street Reconstruction (3rd—8th)</t>
  </si>
  <si>
    <t>Year</t>
  </si>
  <si>
    <t xml:space="preserve">Residential  </t>
  </si>
  <si>
    <t>Res &amp; Comm</t>
  </si>
  <si>
    <t>Residential</t>
  </si>
  <si>
    <t>2014/2015</t>
  </si>
  <si>
    <t>2013/2014</t>
  </si>
  <si>
    <t xml:space="preserve">Ski Hill Drive &amp; West Street Overlay </t>
  </si>
  <si>
    <t>West Street Asphalt and Sidewalk Improvements (Safe Routes)</t>
  </si>
  <si>
    <t>Pine Street Planning, Chumstick Trail, Alleyways, West Street</t>
  </si>
  <si>
    <t>Final Closures of Various Projects &amp; General Maintenance</t>
  </si>
  <si>
    <t>Alleyway Imp, P4 Parking Lot, City Hall Ped Crossing, Sidewalk Imp.</t>
  </si>
  <si>
    <t>Hwy 2 Crosswalks Engineering</t>
  </si>
  <si>
    <t>Commercial</t>
  </si>
  <si>
    <t>Emergency Asphalt Repairs 10th &amp; Commercial and 14th &amp; Front</t>
  </si>
  <si>
    <t>City Real Estate Excise Tax (REET) Funds</t>
  </si>
  <si>
    <t>City Grant and Loan Funds</t>
  </si>
  <si>
    <t>City Street Funds (Retail Sales / Fuel Taxes)</t>
  </si>
  <si>
    <t>TBD Project Debt (2009 Engineering &amp; 2012 Front St)</t>
  </si>
  <si>
    <t>Emergency Asphalt Repairs - Benton, Birch &amp; Burke, Burke &amp; Cedar, Cascade, Evans, Price &amp; Ash, Scholze, Center, Cherry, Orchard, O'Grady, Prospect, Stafford, West Whitman</t>
  </si>
  <si>
    <t>Parking Lot Improvements - P1 &amp; P2 Double Shot</t>
  </si>
  <si>
    <t>Pine Street Reconstruction - $385,100</t>
  </si>
  <si>
    <t>Parking - Joint Purchase ROW/Land - Safeway Link Transit Park-n-Ride</t>
  </si>
  <si>
    <t xml:space="preserve">Hwy 2 Crosswalks Construction </t>
  </si>
  <si>
    <t>Street Preservations - Commerical, Whitman &amp; Enchantment Way</t>
  </si>
  <si>
    <t>Pine Street Reconstruction - $340,600</t>
  </si>
  <si>
    <t>Hwy 2 Crosswalks Construction</t>
  </si>
  <si>
    <t xml:space="preserve">Street Preservations - Chip Seals: Portions of Front, Commercial/9th Intersection, Scholz/Joseph Intersection, Prospect, Pine/Cone, West, Ski Hill, Front/8th, Cedar, Clinton, Mine, Cherry, Price, Icicle Bridge, Forest Service Streets; South Side of new Pinegrass </t>
  </si>
  <si>
    <t>Residential / Commercial</t>
  </si>
  <si>
    <t>Percent Total</t>
  </si>
  <si>
    <t>Whitman Pilot Project - 92% TIB and 8% City match - $88,788</t>
  </si>
  <si>
    <t>Start Eng. design for 14th St. - 5% City match/95% TIB Funding; Finish Relight Washington Street Lights 5% City match/95% state grant; Finish SR2 Crosswalks - Total of all 3 = $29,305</t>
  </si>
  <si>
    <t>Pine Street Phase II Start Planning (adveritsing costs only at this time) - $1,811</t>
  </si>
  <si>
    <t>Continue Eng. design for 14th St. - 5% City match/95% TIB Funding for Street portion only; adding water line improvements from Water Fund - $25,018</t>
  </si>
  <si>
    <t>Pine Street Phase II Study, Ski Hill Sidewalks Eng., 14th Street Eng/Admin/Constr. complete, Alleway Study, and Snow Emerg. (75% funded by Lod. Tax)</t>
  </si>
  <si>
    <t>Asphalt &amp; Concrete Patches: Park Ave., Alleyway between 8th/9th, W. Center &amp; Center, Stafford, Cascade,Burke, Cedar, Evans, Ski Hill, and Pine Streets</t>
  </si>
  <si>
    <t>Pine Street Phase II Study, Ski Hill Sidewalks Eng/Const./Admin/ROW, TIB 2024 - Scrub Seal Red Town Eng. started, Sweeper Material Disposal (20% only), Residential/Commcerial Street Repairs and Annual Roadway Preventative Maint - many locations throughout community, WSDOT Paving - 12th and Chumstick Intersection</t>
  </si>
  <si>
    <t>TIB 2024 - Citywide Scrub Seal Red Town Project (special paving a majority of all city streets), TIB 2024 Street Maintenance Project - Various Streets, WSDOT Ski Hill Phase 2 Sidewalks Eng., TIB 2024 Curb Ramps</t>
  </si>
  <si>
    <t>Voters approved a 21-Year .2% Tax for the TBD commencing on 4/11/2011 and expiring on April 10, 2032 without a new vote.</t>
  </si>
  <si>
    <t>2011 - 2025 (15 Yrs) Transportation Benefit District (TBD) and City of Leavenworth Project History and Costs</t>
  </si>
  <si>
    <t>WSDOT Pine Street Phase II Eng/Design, USDOT Citywide Safe Streets/Road Plan, Blackbird Island Bridge Eng/Survey, ROW, TIB 2024 Curb Ramps, Commercial Street Railing, WSDOT Salt Shed, ADA Inventory, TIB 2024 Citywide Scrub Seal Red Town Project, TIB 2024 Street Maintenance Project - Various Streets, this year included signicant support to annual operations and maintenance that will revert back limitied funding from the TBD in the future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</si>
</sst>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Arial"/>
      <family val="2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EFF9"/>
        <bgColor indexed="64"/>
      </patternFill>
    </fill>
    <fill>
      <patternFill patternType="solid">
        <fgColor rgb="FFCDF2F9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rgb="FF464646"/>
      </left>
      <right style="thin">
        <color rgb="FF464646"/>
      </right>
      <top style="thin">
        <color rgb="FF464646"/>
      </top>
      <bottom style="thin">
        <color rgb="FF464646"/>
      </bottom>
      <diagonal/>
    </border>
    <border>
      <left/>
      <right style="thin">
        <color rgb="FF464646"/>
      </right>
      <top style="thin">
        <color rgb="FF464646"/>
      </top>
      <bottom style="thin">
        <color rgb="FF46464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8" fontId="0" fillId="0" borderId="0" xfId="0" applyNumberFormat="1"/>
    <xf numFmtId="164" fontId="2" fillId="2" borderId="1" xfId="0" applyNumberFormat="1" applyFont="1" applyFill="1" applyBorder="1" applyAlignment="1">
      <alignment horizontal="left"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left" vertical="top" wrapText="1"/>
    </xf>
    <xf numFmtId="6" fontId="4" fillId="3" borderId="3" xfId="0" applyNumberFormat="1" applyFont="1" applyFill="1" applyBorder="1"/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164" fontId="2" fillId="2" borderId="2" xfId="0" applyNumberFormat="1" applyFont="1" applyFill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44" fontId="2" fillId="0" borderId="1" xfId="0" applyNumberFormat="1" applyFont="1" applyBorder="1" applyAlignment="1">
      <alignment horizontal="left" vertical="top" wrapText="1"/>
    </xf>
    <xf numFmtId="164" fontId="2" fillId="3" borderId="2" xfId="0" applyNumberFormat="1" applyFont="1" applyFill="1" applyBorder="1" applyAlignment="1">
      <alignment horizontal="left" vertical="top" wrapText="1"/>
    </xf>
    <xf numFmtId="44" fontId="2" fillId="3" borderId="1" xfId="0" applyNumberFormat="1" applyFont="1" applyFill="1" applyBorder="1" applyAlignment="1">
      <alignment horizontal="left" vertical="top" wrapText="1"/>
    </xf>
    <xf numFmtId="164" fontId="0" fillId="0" borderId="0" xfId="0" applyNumberFormat="1"/>
    <xf numFmtId="0" fontId="3" fillId="3" borderId="3" xfId="0" applyFont="1" applyFill="1" applyBorder="1" applyAlignment="1">
      <alignment horizontal="left" vertical="top" wrapText="1"/>
    </xf>
    <xf numFmtId="10" fontId="9" fillId="0" borderId="0" xfId="1" applyNumberFormat="1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4" borderId="3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164" fontId="3" fillId="4" borderId="2" xfId="0" applyNumberFormat="1" applyFont="1" applyFill="1" applyBorder="1" applyAlignment="1">
      <alignment horizontal="center" vertical="top" wrapText="1"/>
    </xf>
    <xf numFmtId="6" fontId="5" fillId="4" borderId="3" xfId="0" applyNumberFormat="1" applyFont="1" applyFill="1" applyBorder="1"/>
    <xf numFmtId="10" fontId="5" fillId="4" borderId="3" xfId="1" applyNumberFormat="1" applyFont="1" applyFill="1" applyBorder="1"/>
    <xf numFmtId="0" fontId="6" fillId="4" borderId="3" xfId="0" applyFont="1" applyFill="1" applyBorder="1"/>
    <xf numFmtId="0" fontId="6" fillId="4" borderId="3" xfId="0" applyFont="1" applyFill="1" applyBorder="1" applyAlignment="1">
      <alignment horizontal="center" wrapText="1"/>
    </xf>
    <xf numFmtId="10" fontId="0" fillId="0" borderId="0" xfId="0" applyNumberFormat="1"/>
    <xf numFmtId="10" fontId="4" fillId="3" borderId="3" xfId="1" applyNumberFormat="1" applyFont="1" applyFill="1" applyBorder="1"/>
    <xf numFmtId="10" fontId="4" fillId="0" borderId="3" xfId="1" applyNumberFormat="1" applyFont="1" applyFill="1" applyBorder="1"/>
    <xf numFmtId="164" fontId="0" fillId="0" borderId="0" xfId="1" applyNumberFormat="1" applyFont="1"/>
    <xf numFmtId="6" fontId="4" fillId="0" borderId="3" xfId="0" applyNumberFormat="1" applyFont="1" applyBorder="1"/>
    <xf numFmtId="10" fontId="0" fillId="0" borderId="0" xfId="1" applyNumberFormat="1" applyFont="1"/>
    <xf numFmtId="164" fontId="7" fillId="0" borderId="0" xfId="0" applyNumberFormat="1" applyFont="1"/>
    <xf numFmtId="0" fontId="3" fillId="4" borderId="3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6" fillId="4" borderId="4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DF2F9"/>
      <color rgb="FF65A8E5"/>
      <color rgb="FF67A2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workbookViewId="0">
      <selection activeCell="Q6" sqref="Q6"/>
    </sheetView>
  </sheetViews>
  <sheetFormatPr defaultRowHeight="12.75" x14ac:dyDescent="0.2"/>
  <cols>
    <col min="1" max="1" width="17.140625" customWidth="1"/>
    <col min="2" max="5" width="16.140625" customWidth="1"/>
    <col min="6" max="6" width="17.28515625" customWidth="1"/>
    <col min="7" max="8" width="16.140625" customWidth="1"/>
    <col min="9" max="9" width="5.5703125" customWidth="1"/>
    <col min="10" max="10" width="19.140625" customWidth="1"/>
    <col min="11" max="11" width="19.42578125" customWidth="1"/>
  </cols>
  <sheetData>
    <row r="1" spans="1:11" ht="23.25" x14ac:dyDescent="0.35">
      <c r="A1" s="43" t="s">
        <v>50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8.75" x14ac:dyDescent="0.3">
      <c r="A2" s="46" t="s">
        <v>49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4" spans="1:11" ht="63" x14ac:dyDescent="0.2">
      <c r="A4" s="21"/>
      <c r="B4" s="22" t="s">
        <v>0</v>
      </c>
      <c r="C4" s="23" t="s">
        <v>29</v>
      </c>
      <c r="D4" s="23" t="s">
        <v>6</v>
      </c>
      <c r="E4" s="23" t="s">
        <v>28</v>
      </c>
      <c r="F4" s="23" t="s">
        <v>26</v>
      </c>
      <c r="G4" s="23" t="s">
        <v>27</v>
      </c>
      <c r="H4" s="23" t="s">
        <v>1</v>
      </c>
      <c r="J4" s="24" t="s">
        <v>3</v>
      </c>
      <c r="K4" s="24" t="s">
        <v>5</v>
      </c>
    </row>
    <row r="5" spans="1:11" ht="15.75" x14ac:dyDescent="0.25">
      <c r="A5" s="12">
        <v>2011</v>
      </c>
      <c r="B5" s="10">
        <f>44754+1600+4600</f>
        <v>50954</v>
      </c>
      <c r="C5" s="3">
        <v>34319</v>
      </c>
      <c r="D5" s="2">
        <f>11658+10736+5626+707+5000</f>
        <v>33727</v>
      </c>
      <c r="E5" s="2">
        <f>593169-60000</f>
        <v>533169</v>
      </c>
      <c r="F5" s="2">
        <v>60000</v>
      </c>
      <c r="G5" s="2">
        <v>150357</v>
      </c>
      <c r="H5" s="2">
        <f>SUM(B5:G5)</f>
        <v>862526</v>
      </c>
      <c r="J5" s="5">
        <f>SUM(B5:D5)</f>
        <v>119000</v>
      </c>
      <c r="K5" s="31">
        <f>J5/H5</f>
        <v>0.13796685549189242</v>
      </c>
    </row>
    <row r="6" spans="1:11" ht="15.75" x14ac:dyDescent="0.25">
      <c r="A6" s="13">
        <v>2012</v>
      </c>
      <c r="B6" s="11">
        <f>78172+116828</f>
        <v>195000</v>
      </c>
      <c r="C6" s="14">
        <v>0</v>
      </c>
      <c r="D6" s="4">
        <f>5000</f>
        <v>5000</v>
      </c>
      <c r="E6" s="4">
        <f>1026625-60000</f>
        <v>966625</v>
      </c>
      <c r="F6" s="4">
        <v>60000</v>
      </c>
      <c r="G6" s="4">
        <v>1650692</v>
      </c>
      <c r="H6" s="4">
        <f t="shared" ref="H6:H11" si="0">SUM(B6:G6)</f>
        <v>2877317</v>
      </c>
      <c r="J6" s="34">
        <f t="shared" ref="J6:J15" si="1">SUM(B6:D6)</f>
        <v>200000</v>
      </c>
      <c r="K6" s="32">
        <f t="shared" ref="K6:K13" si="2">J6/H6</f>
        <v>6.9509199021171461E-2</v>
      </c>
    </row>
    <row r="7" spans="1:11" ht="15.75" x14ac:dyDescent="0.25">
      <c r="A7" s="12">
        <v>2013</v>
      </c>
      <c r="B7" s="15">
        <f>880+2623+1180+1050+25290+20000+6700+10817+13061+23547+11905+12393+35554</f>
        <v>165000</v>
      </c>
      <c r="C7" s="16">
        <v>0</v>
      </c>
      <c r="D7" s="2">
        <f>5000</f>
        <v>5000</v>
      </c>
      <c r="E7" s="2">
        <f>724513-50000</f>
        <v>674513</v>
      </c>
      <c r="F7" s="2">
        <v>50000</v>
      </c>
      <c r="G7" s="2">
        <v>269264</v>
      </c>
      <c r="H7" s="2">
        <f t="shared" si="0"/>
        <v>1163777</v>
      </c>
      <c r="J7" s="5">
        <f t="shared" si="1"/>
        <v>170000</v>
      </c>
      <c r="K7" s="31">
        <f t="shared" si="2"/>
        <v>0.14607609533441543</v>
      </c>
    </row>
    <row r="8" spans="1:11" ht="15.75" x14ac:dyDescent="0.25">
      <c r="A8" s="13">
        <v>2014</v>
      </c>
      <c r="B8" s="11">
        <f>30405.45+694.14+27282.53+1077.5+254.74+80528.64+361.05+41914.17+406.12+16335.66</f>
        <v>199259.99999999997</v>
      </c>
      <c r="C8" s="4">
        <v>62973.919999999998</v>
      </c>
      <c r="D8" s="4">
        <f>27756.83+2238.91+5770.34</f>
        <v>35766.080000000002</v>
      </c>
      <c r="E8" s="4">
        <f>772547.78</f>
        <v>772547.78</v>
      </c>
      <c r="F8" s="4">
        <v>50000</v>
      </c>
      <c r="G8" s="4">
        <v>473511.03</v>
      </c>
      <c r="H8" s="4">
        <f t="shared" si="0"/>
        <v>1594058.81</v>
      </c>
      <c r="J8" s="34">
        <f t="shared" si="1"/>
        <v>298000</v>
      </c>
      <c r="K8" s="32">
        <f t="shared" si="2"/>
        <v>0.18694416926813384</v>
      </c>
    </row>
    <row r="9" spans="1:11" ht="15.75" x14ac:dyDescent="0.25">
      <c r="A9" s="12">
        <v>2015</v>
      </c>
      <c r="B9" s="10">
        <f>18863.27+764.7+12419.04+4619.71+8762.63+542.1+542.1+5675.57+111145.75+6148.59+18327.69</f>
        <v>187811.15</v>
      </c>
      <c r="C9" s="2">
        <v>61716.6</v>
      </c>
      <c r="D9" s="2">
        <f>46184.66+1828.9+51847.75+610.93</f>
        <v>100472.23999999999</v>
      </c>
      <c r="E9" s="2">
        <f>619809.73</f>
        <v>619809.73</v>
      </c>
      <c r="F9" s="2">
        <v>100000</v>
      </c>
      <c r="G9" s="2">
        <v>1160661.04</v>
      </c>
      <c r="H9" s="2">
        <f t="shared" si="0"/>
        <v>2230470.7599999998</v>
      </c>
      <c r="J9" s="5">
        <f t="shared" si="1"/>
        <v>349999.99</v>
      </c>
      <c r="K9" s="31">
        <f t="shared" si="2"/>
        <v>0.15691754237567321</v>
      </c>
    </row>
    <row r="10" spans="1:11" ht="15.75" x14ac:dyDescent="0.25">
      <c r="A10" s="13">
        <v>2016</v>
      </c>
      <c r="B10" s="11">
        <f>362.95+489+2196.58</f>
        <v>3048.5299999999997</v>
      </c>
      <c r="C10" s="4">
        <v>62396.54</v>
      </c>
      <c r="D10" s="4">
        <f>25436.11+10604.63+33514.19</f>
        <v>69554.929999999993</v>
      </c>
      <c r="E10" s="4">
        <v>659147.80000000005</v>
      </c>
      <c r="F10" s="4">
        <v>80000</v>
      </c>
      <c r="G10" s="4">
        <v>393927.53</v>
      </c>
      <c r="H10" s="4">
        <f t="shared" si="0"/>
        <v>1268075.33</v>
      </c>
      <c r="J10" s="34">
        <f t="shared" si="1"/>
        <v>135000</v>
      </c>
      <c r="K10" s="32">
        <f t="shared" si="2"/>
        <v>0.10646055230803993</v>
      </c>
    </row>
    <row r="11" spans="1:11" ht="15.75" x14ac:dyDescent="0.25">
      <c r="A11" s="18">
        <v>2017</v>
      </c>
      <c r="B11" s="10">
        <f>1260.39+31825.09+78395-84168.78+513.45+3097.24</f>
        <v>30922.390000000014</v>
      </c>
      <c r="C11" s="2">
        <v>62111.93</v>
      </c>
      <c r="D11" s="2">
        <f>22941.44+2780.07+31244.17</f>
        <v>56965.679999999993</v>
      </c>
      <c r="E11" s="2">
        <v>526835.68000000005</v>
      </c>
      <c r="F11" s="2">
        <v>0</v>
      </c>
      <c r="G11" s="2">
        <v>169085.76</v>
      </c>
      <c r="H11" s="2">
        <f t="shared" si="0"/>
        <v>845921.44000000006</v>
      </c>
      <c r="J11" s="5">
        <f t="shared" si="1"/>
        <v>150000</v>
      </c>
      <c r="K11" s="31">
        <f t="shared" si="2"/>
        <v>0.17732143069928571</v>
      </c>
    </row>
    <row r="12" spans="1:11" ht="15.75" x14ac:dyDescent="0.25">
      <c r="A12" s="13">
        <v>2018</v>
      </c>
      <c r="B12" s="11">
        <f>81768.02+70109.69+447538</f>
        <v>599415.71</v>
      </c>
      <c r="C12" s="4">
        <f>61827.29</f>
        <v>61827.29</v>
      </c>
      <c r="D12" s="4">
        <v>2500</v>
      </c>
      <c r="E12" s="4">
        <v>1110452.17</v>
      </c>
      <c r="F12" s="4">
        <v>0</v>
      </c>
      <c r="G12" s="4">
        <v>21492.73</v>
      </c>
      <c r="H12" s="4">
        <f t="shared" ref="H12:H16" si="3">SUM(B12:G12)</f>
        <v>1795687.9</v>
      </c>
      <c r="J12" s="34">
        <f t="shared" si="1"/>
        <v>663743</v>
      </c>
      <c r="K12" s="32">
        <f t="shared" si="2"/>
        <v>0.36963160469032508</v>
      </c>
    </row>
    <row r="13" spans="1:11" ht="15.75" x14ac:dyDescent="0.25">
      <c r="A13" s="18">
        <v>2019</v>
      </c>
      <c r="B13" s="15">
        <f>-69801.12+72229-61821.92+104983.1+340600.19</f>
        <v>386189.25</v>
      </c>
      <c r="C13" s="15">
        <f>61542.7</f>
        <v>61542.7</v>
      </c>
      <c r="D13" s="15">
        <f>27925.94+32859.92</f>
        <v>60785.86</v>
      </c>
      <c r="E13" s="15">
        <v>232810.45</v>
      </c>
      <c r="F13" s="15">
        <v>0</v>
      </c>
      <c r="G13" s="15">
        <v>940533.51</v>
      </c>
      <c r="H13" s="15">
        <f t="shared" si="3"/>
        <v>1681861.77</v>
      </c>
      <c r="J13" s="5">
        <f t="shared" si="1"/>
        <v>508517.81</v>
      </c>
      <c r="K13" s="31">
        <f t="shared" si="2"/>
        <v>0.30235410487985587</v>
      </c>
    </row>
    <row r="14" spans="1:11" ht="15.75" x14ac:dyDescent="0.25">
      <c r="A14" s="13">
        <v>2020</v>
      </c>
      <c r="B14" s="11">
        <f>9124.22-4.77+7198.96+3860.11</f>
        <v>20178.52</v>
      </c>
      <c r="C14" s="11">
        <f>61258.06</f>
        <v>61258.06</v>
      </c>
      <c r="D14" s="11">
        <f>42045.44+52924.93</f>
        <v>94970.37</v>
      </c>
      <c r="E14" s="11">
        <v>580865.99</v>
      </c>
      <c r="F14" s="11">
        <v>0</v>
      </c>
      <c r="G14" s="11">
        <v>97914.03</v>
      </c>
      <c r="H14" s="11">
        <f t="shared" si="3"/>
        <v>855186.97</v>
      </c>
      <c r="J14" s="34">
        <f t="shared" si="1"/>
        <v>176406.95</v>
      </c>
      <c r="K14" s="32">
        <f t="shared" ref="K14:K20" si="4">J14/H14</f>
        <v>0.2062788094163783</v>
      </c>
    </row>
    <row r="15" spans="1:11" ht="15.75" x14ac:dyDescent="0.25">
      <c r="A15" s="18">
        <v>2021</v>
      </c>
      <c r="B15" s="15">
        <f>4868.95+1810.92</f>
        <v>6679.87</v>
      </c>
      <c r="C15" s="15">
        <v>60973.45</v>
      </c>
      <c r="D15" s="15">
        <f>27959.21+509.95+75532.1</f>
        <v>104001.26000000001</v>
      </c>
      <c r="E15" s="15">
        <v>621594.79</v>
      </c>
      <c r="F15" s="15">
        <v>0</v>
      </c>
      <c r="G15" s="15">
        <v>20148.82</v>
      </c>
      <c r="H15" s="15">
        <f t="shared" si="3"/>
        <v>813398.19000000006</v>
      </c>
      <c r="J15" s="5">
        <f t="shared" si="1"/>
        <v>171654.58000000002</v>
      </c>
      <c r="K15" s="31">
        <f t="shared" si="4"/>
        <v>0.21103388489221989</v>
      </c>
    </row>
    <row r="16" spans="1:11" ht="15.75" x14ac:dyDescent="0.25">
      <c r="A16" s="13">
        <v>2022</v>
      </c>
      <c r="B16" s="11">
        <v>272985.59999999998</v>
      </c>
      <c r="C16" s="11">
        <v>60688.800000000003</v>
      </c>
      <c r="D16" s="11">
        <v>79959.05</v>
      </c>
      <c r="E16" s="11">
        <v>842577.34</v>
      </c>
      <c r="F16" s="11">
        <v>0</v>
      </c>
      <c r="G16" s="11">
        <v>422602.83</v>
      </c>
      <c r="H16" s="11">
        <f t="shared" si="3"/>
        <v>1678813.62</v>
      </c>
      <c r="J16" s="34">
        <f>SUM(B16:D16)</f>
        <v>413633.44999999995</v>
      </c>
      <c r="K16" s="32">
        <f t="shared" si="4"/>
        <v>0.24638437827303303</v>
      </c>
    </row>
    <row r="17" spans="1:11" ht="15.75" x14ac:dyDescent="0.25">
      <c r="A17" s="18">
        <v>2023</v>
      </c>
      <c r="B17" s="15">
        <f>860789.97-C17-D17</f>
        <v>629592.10000000009</v>
      </c>
      <c r="C17" s="15">
        <v>60404.19</v>
      </c>
      <c r="D17" s="15">
        <f>76750.94+5741.55+88301.19</f>
        <v>170793.68</v>
      </c>
      <c r="E17" s="15">
        <v>878932.97</v>
      </c>
      <c r="F17" s="15">
        <v>0</v>
      </c>
      <c r="G17" s="15">
        <v>422276.87</v>
      </c>
      <c r="H17" s="15">
        <f t="shared" ref="H17" si="5">SUM(B17:G17)</f>
        <v>2161999.81</v>
      </c>
      <c r="J17" s="5">
        <f>SUM(B17:D17)</f>
        <v>860789.97</v>
      </c>
      <c r="K17" s="31">
        <f t="shared" si="4"/>
        <v>0.39814525700628989</v>
      </c>
    </row>
    <row r="18" spans="1:11" ht="15.75" x14ac:dyDescent="0.25">
      <c r="A18" s="13">
        <v>2024</v>
      </c>
      <c r="B18" s="11">
        <f>526888.03-C18-D18</f>
        <v>270626.28000000003</v>
      </c>
      <c r="C18" s="11">
        <v>72119.600000000006</v>
      </c>
      <c r="D18" s="11">
        <f>84336.97+2421.39+97383.79</f>
        <v>184142.15</v>
      </c>
      <c r="E18" s="11">
        <v>942619.09</v>
      </c>
      <c r="F18" s="11">
        <v>475000</v>
      </c>
      <c r="G18" s="11">
        <v>1162981.21</v>
      </c>
      <c r="H18" s="11">
        <f t="shared" ref="H18" si="6">SUM(B18:G18)</f>
        <v>3107488.33</v>
      </c>
      <c r="J18" s="34">
        <f>SUM(B18:D18)</f>
        <v>526888.03</v>
      </c>
      <c r="K18" s="32">
        <f t="shared" ref="K18" si="7">J18/H18</f>
        <v>0.16955430690225634</v>
      </c>
    </row>
    <row r="19" spans="1:11" ht="15.75" x14ac:dyDescent="0.25">
      <c r="A19" s="18">
        <v>2025</v>
      </c>
      <c r="B19" s="15">
        <v>241143.86</v>
      </c>
      <c r="C19" s="15">
        <v>71834.960000000006</v>
      </c>
      <c r="D19" s="15">
        <f>1000000-B19-C19</f>
        <v>687021.18</v>
      </c>
      <c r="E19" s="15">
        <v>343371.88</v>
      </c>
      <c r="F19" s="15">
        <v>0</v>
      </c>
      <c r="G19" s="15">
        <v>796969.92</v>
      </c>
      <c r="H19" s="15">
        <f>SUM(B19:G19)</f>
        <v>2140341.7999999998</v>
      </c>
      <c r="J19" s="5">
        <f>SUM(B19:D19)</f>
        <v>1000000</v>
      </c>
      <c r="K19" s="31">
        <f>J19/H19</f>
        <v>0.46721509620566215</v>
      </c>
    </row>
    <row r="20" spans="1:11" ht="15.75" x14ac:dyDescent="0.25">
      <c r="A20" s="37" t="s">
        <v>4</v>
      </c>
      <c r="B20" s="25">
        <f t="shared" ref="B20:H20" si="8">SUM(B5:B19)</f>
        <v>3258807.2600000002</v>
      </c>
      <c r="C20" s="25">
        <f t="shared" si="8"/>
        <v>794167.03999999992</v>
      </c>
      <c r="D20" s="25">
        <f t="shared" si="8"/>
        <v>1690659.48</v>
      </c>
      <c r="E20" s="25">
        <f t="shared" si="8"/>
        <v>10305872.670000002</v>
      </c>
      <c r="F20" s="25">
        <f t="shared" si="8"/>
        <v>875000</v>
      </c>
      <c r="G20" s="25">
        <f t="shared" si="8"/>
        <v>8152418.2800000012</v>
      </c>
      <c r="H20" s="25">
        <f t="shared" si="8"/>
        <v>25076924.73</v>
      </c>
      <c r="J20" s="26">
        <f>SUM(J5:J19)</f>
        <v>5743633.7800000003</v>
      </c>
      <c r="K20" s="27">
        <f t="shared" si="4"/>
        <v>0.22904059576048344</v>
      </c>
    </row>
    <row r="21" spans="1:11" ht="15.75" x14ac:dyDescent="0.2">
      <c r="A21" s="20" t="s">
        <v>40</v>
      </c>
      <c r="B21" s="19">
        <f>B20/$H$20</f>
        <v>0.12995242818197031</v>
      </c>
      <c r="C21" s="19">
        <f t="shared" ref="C21:G21" si="9">C20/$H$20</f>
        <v>3.166923570376725E-2</v>
      </c>
      <c r="D21" s="19">
        <f t="shared" si="9"/>
        <v>6.7418931874745874E-2</v>
      </c>
      <c r="E21" s="19">
        <f t="shared" si="9"/>
        <v>0.41097035545474564</v>
      </c>
      <c r="F21" s="19">
        <f t="shared" si="9"/>
        <v>3.4892635736678702E-2</v>
      </c>
      <c r="G21" s="19">
        <f t="shared" si="9"/>
        <v>0.32509641304809234</v>
      </c>
      <c r="H21" s="19">
        <f>H20/$H$20</f>
        <v>1</v>
      </c>
      <c r="J21" s="30"/>
    </row>
    <row r="22" spans="1:11" x14ac:dyDescent="0.2">
      <c r="B22" s="17"/>
      <c r="C22" s="17"/>
      <c r="D22" s="35"/>
      <c r="E22" s="30"/>
      <c r="H22" s="33"/>
    </row>
    <row r="23" spans="1:11" ht="15.75" x14ac:dyDescent="0.25">
      <c r="A23" s="6"/>
      <c r="B23" s="7"/>
      <c r="C23" s="7"/>
      <c r="D23" s="36"/>
      <c r="E23" s="7"/>
      <c r="F23" s="7"/>
      <c r="H23" s="17"/>
      <c r="J23" s="1"/>
    </row>
    <row r="24" spans="1:11" ht="31.5" x14ac:dyDescent="0.25">
      <c r="A24" s="28" t="s">
        <v>12</v>
      </c>
      <c r="B24" s="29" t="s">
        <v>39</v>
      </c>
      <c r="C24" s="44" t="s">
        <v>2</v>
      </c>
      <c r="D24" s="45"/>
      <c r="E24" s="45"/>
      <c r="F24" s="45"/>
      <c r="G24" s="45"/>
      <c r="H24" s="45"/>
      <c r="I24" s="45"/>
      <c r="J24" s="45"/>
      <c r="K24" s="45"/>
    </row>
    <row r="25" spans="1:11" ht="15.75" x14ac:dyDescent="0.25">
      <c r="A25" s="8">
        <v>2011</v>
      </c>
      <c r="B25" s="9" t="s">
        <v>13</v>
      </c>
      <c r="C25" s="42" t="s">
        <v>7</v>
      </c>
      <c r="D25" s="42"/>
      <c r="E25" s="42"/>
      <c r="F25" s="42"/>
      <c r="G25" s="42"/>
      <c r="H25" s="42"/>
      <c r="I25" s="42"/>
      <c r="J25" s="42"/>
      <c r="K25" s="42"/>
    </row>
    <row r="26" spans="1:11" ht="15.75" x14ac:dyDescent="0.25">
      <c r="A26" s="8">
        <v>2012</v>
      </c>
      <c r="B26" s="9" t="s">
        <v>14</v>
      </c>
      <c r="C26" s="42" t="s">
        <v>8</v>
      </c>
      <c r="D26" s="42"/>
      <c r="E26" s="42"/>
      <c r="F26" s="42"/>
      <c r="G26" s="42"/>
      <c r="H26" s="42"/>
      <c r="I26" s="42"/>
      <c r="J26" s="42"/>
      <c r="K26" s="42"/>
    </row>
    <row r="27" spans="1:11" ht="15.75" x14ac:dyDescent="0.25">
      <c r="A27" s="8">
        <v>2012</v>
      </c>
      <c r="B27" s="9" t="s">
        <v>15</v>
      </c>
      <c r="C27" s="42" t="s">
        <v>9</v>
      </c>
      <c r="D27" s="42"/>
      <c r="E27" s="42"/>
      <c r="F27" s="42"/>
      <c r="G27" s="42"/>
      <c r="H27" s="42"/>
      <c r="I27" s="42"/>
      <c r="J27" s="42"/>
      <c r="K27" s="42"/>
    </row>
    <row r="28" spans="1:11" ht="15.75" x14ac:dyDescent="0.25">
      <c r="A28" s="8">
        <v>2013</v>
      </c>
      <c r="B28" s="9" t="s">
        <v>14</v>
      </c>
      <c r="C28" s="42" t="s">
        <v>22</v>
      </c>
      <c r="D28" s="42"/>
      <c r="E28" s="42"/>
      <c r="F28" s="42"/>
      <c r="G28" s="42"/>
      <c r="H28" s="42"/>
      <c r="I28" s="42"/>
      <c r="J28" s="42"/>
      <c r="K28" s="42"/>
    </row>
    <row r="29" spans="1:11" ht="15.75" x14ac:dyDescent="0.25">
      <c r="A29" s="8" t="s">
        <v>17</v>
      </c>
      <c r="B29" s="9" t="s">
        <v>15</v>
      </c>
      <c r="C29" s="42" t="s">
        <v>18</v>
      </c>
      <c r="D29" s="42"/>
      <c r="E29" s="42"/>
      <c r="F29" s="42"/>
      <c r="G29" s="42"/>
      <c r="H29" s="42"/>
      <c r="I29" s="42"/>
      <c r="J29" s="42"/>
      <c r="K29" s="42"/>
    </row>
    <row r="30" spans="1:11" ht="15.75" x14ac:dyDescent="0.25">
      <c r="A30" s="8">
        <v>2014</v>
      </c>
      <c r="B30" s="9" t="s">
        <v>15</v>
      </c>
      <c r="C30" s="42" t="s">
        <v>19</v>
      </c>
      <c r="D30" s="42"/>
      <c r="E30" s="42"/>
      <c r="F30" s="42"/>
      <c r="G30" s="42"/>
      <c r="H30" s="42"/>
      <c r="I30" s="42"/>
      <c r="J30" s="42"/>
      <c r="K30" s="42"/>
    </row>
    <row r="31" spans="1:11" ht="15.75" x14ac:dyDescent="0.25">
      <c r="A31" s="8">
        <v>2014</v>
      </c>
      <c r="B31" s="9" t="s">
        <v>15</v>
      </c>
      <c r="C31" s="42" t="s">
        <v>10</v>
      </c>
      <c r="D31" s="42"/>
      <c r="E31" s="42"/>
      <c r="F31" s="42"/>
      <c r="G31" s="42"/>
      <c r="H31" s="42"/>
      <c r="I31" s="42"/>
      <c r="J31" s="42"/>
      <c r="K31" s="42"/>
    </row>
    <row r="32" spans="1:11" ht="15.75" x14ac:dyDescent="0.25">
      <c r="A32" s="8" t="s">
        <v>16</v>
      </c>
      <c r="B32" s="9" t="s">
        <v>14</v>
      </c>
      <c r="C32" s="42" t="s">
        <v>11</v>
      </c>
      <c r="D32" s="42"/>
      <c r="E32" s="42"/>
      <c r="F32" s="42"/>
      <c r="G32" s="42"/>
      <c r="H32" s="42"/>
      <c r="I32" s="42"/>
      <c r="J32" s="42"/>
      <c r="K32" s="42"/>
    </row>
    <row r="33" spans="1:11" ht="15.75" x14ac:dyDescent="0.25">
      <c r="A33" s="8">
        <v>2015</v>
      </c>
      <c r="B33" s="9" t="s">
        <v>15</v>
      </c>
      <c r="C33" s="42" t="s">
        <v>20</v>
      </c>
      <c r="D33" s="42"/>
      <c r="E33" s="42"/>
      <c r="F33" s="42"/>
      <c r="G33" s="42"/>
      <c r="H33" s="42"/>
      <c r="I33" s="42"/>
      <c r="J33" s="42"/>
      <c r="K33" s="42"/>
    </row>
    <row r="34" spans="1:11" ht="15.75" x14ac:dyDescent="0.25">
      <c r="A34" s="8">
        <v>2016</v>
      </c>
      <c r="B34" s="9" t="s">
        <v>14</v>
      </c>
      <c r="C34" s="42" t="s">
        <v>21</v>
      </c>
      <c r="D34" s="42"/>
      <c r="E34" s="42"/>
      <c r="F34" s="42"/>
      <c r="G34" s="42"/>
      <c r="H34" s="42"/>
      <c r="I34" s="42"/>
      <c r="J34" s="42"/>
      <c r="K34" s="42"/>
    </row>
    <row r="35" spans="1:11" ht="15.75" x14ac:dyDescent="0.25">
      <c r="A35" s="8">
        <v>2017</v>
      </c>
      <c r="B35" s="9" t="s">
        <v>14</v>
      </c>
      <c r="C35" s="42" t="s">
        <v>23</v>
      </c>
      <c r="D35" s="42"/>
      <c r="E35" s="42"/>
      <c r="F35" s="42"/>
      <c r="G35" s="42"/>
      <c r="H35" s="42"/>
      <c r="I35" s="42"/>
      <c r="J35" s="42"/>
      <c r="K35" s="42"/>
    </row>
    <row r="36" spans="1:11" ht="31.5" customHeight="1" x14ac:dyDescent="0.25">
      <c r="A36" s="8">
        <v>2017</v>
      </c>
      <c r="B36" s="9" t="s">
        <v>15</v>
      </c>
      <c r="C36" s="42" t="s">
        <v>30</v>
      </c>
      <c r="D36" s="42"/>
      <c r="E36" s="42"/>
      <c r="F36" s="42"/>
      <c r="G36" s="42"/>
      <c r="H36" s="42"/>
      <c r="I36" s="42"/>
      <c r="J36" s="42"/>
      <c r="K36" s="42"/>
    </row>
    <row r="37" spans="1:11" ht="15.75" x14ac:dyDescent="0.25">
      <c r="A37" s="8">
        <v>2017</v>
      </c>
      <c r="B37" s="9" t="s">
        <v>24</v>
      </c>
      <c r="C37" s="42" t="s">
        <v>25</v>
      </c>
      <c r="D37" s="42"/>
      <c r="E37" s="42"/>
      <c r="F37" s="42"/>
      <c r="G37" s="42"/>
      <c r="H37" s="42"/>
      <c r="I37" s="42"/>
      <c r="J37" s="42"/>
      <c r="K37" s="42"/>
    </row>
    <row r="38" spans="1:11" ht="15.75" x14ac:dyDescent="0.25">
      <c r="A38" s="8">
        <v>2018</v>
      </c>
      <c r="B38" s="9" t="s">
        <v>15</v>
      </c>
      <c r="C38" s="42" t="s">
        <v>32</v>
      </c>
      <c r="D38" s="42"/>
      <c r="E38" s="42"/>
      <c r="F38" s="42"/>
      <c r="G38" s="42"/>
      <c r="H38" s="42"/>
      <c r="I38" s="42"/>
      <c r="J38" s="42"/>
      <c r="K38" s="42"/>
    </row>
    <row r="39" spans="1:11" ht="15.75" x14ac:dyDescent="0.25">
      <c r="A39" s="8">
        <v>2018</v>
      </c>
      <c r="B39" s="9" t="s">
        <v>14</v>
      </c>
      <c r="C39" s="42" t="s">
        <v>31</v>
      </c>
      <c r="D39" s="42"/>
      <c r="E39" s="42"/>
      <c r="F39" s="42"/>
      <c r="G39" s="42"/>
      <c r="H39" s="42"/>
      <c r="I39" s="42"/>
      <c r="J39" s="42"/>
      <c r="K39" s="42"/>
    </row>
    <row r="40" spans="1:11" ht="15.75" x14ac:dyDescent="0.25">
      <c r="A40" s="8">
        <v>2018</v>
      </c>
      <c r="B40" s="9" t="s">
        <v>14</v>
      </c>
      <c r="C40" s="42" t="s">
        <v>33</v>
      </c>
      <c r="D40" s="42"/>
      <c r="E40" s="42"/>
      <c r="F40" s="42"/>
      <c r="G40" s="42"/>
      <c r="H40" s="42"/>
      <c r="I40" s="42"/>
      <c r="J40" s="42"/>
      <c r="K40" s="42"/>
    </row>
    <row r="41" spans="1:11" ht="15.75" x14ac:dyDescent="0.25">
      <c r="A41" s="8">
        <v>2018</v>
      </c>
      <c r="B41" s="9" t="s">
        <v>14</v>
      </c>
      <c r="C41" s="42" t="s">
        <v>34</v>
      </c>
      <c r="D41" s="42"/>
      <c r="E41" s="42"/>
      <c r="F41" s="42"/>
      <c r="G41" s="42"/>
      <c r="H41" s="42"/>
      <c r="I41" s="42"/>
      <c r="J41" s="42"/>
      <c r="K41" s="42"/>
    </row>
    <row r="42" spans="1:11" ht="15.75" x14ac:dyDescent="0.25">
      <c r="A42" s="8">
        <v>2018</v>
      </c>
      <c r="B42" s="9" t="s">
        <v>15</v>
      </c>
      <c r="C42" s="42" t="s">
        <v>35</v>
      </c>
      <c r="D42" s="42"/>
      <c r="E42" s="42"/>
      <c r="F42" s="42"/>
      <c r="G42" s="42"/>
      <c r="H42" s="42"/>
      <c r="I42" s="42"/>
      <c r="J42" s="42"/>
      <c r="K42" s="42"/>
    </row>
    <row r="43" spans="1:11" ht="15.75" x14ac:dyDescent="0.25">
      <c r="A43" s="8">
        <v>2019</v>
      </c>
      <c r="B43" s="9" t="s">
        <v>15</v>
      </c>
      <c r="C43" s="42" t="s">
        <v>36</v>
      </c>
      <c r="D43" s="42"/>
      <c r="E43" s="42"/>
      <c r="F43" s="42"/>
      <c r="G43" s="42"/>
      <c r="H43" s="42"/>
      <c r="I43" s="42"/>
      <c r="J43" s="42"/>
      <c r="K43" s="42"/>
    </row>
    <row r="44" spans="1:11" ht="15.75" x14ac:dyDescent="0.25">
      <c r="A44" s="8">
        <v>2019</v>
      </c>
      <c r="B44" s="9" t="s">
        <v>14</v>
      </c>
      <c r="C44" s="42" t="s">
        <v>37</v>
      </c>
      <c r="D44" s="42"/>
      <c r="E44" s="42"/>
      <c r="F44" s="42"/>
      <c r="G44" s="42"/>
      <c r="H44" s="42"/>
      <c r="I44" s="42"/>
      <c r="J44" s="42"/>
      <c r="K44" s="42"/>
    </row>
    <row r="45" spans="1:11" ht="30" customHeight="1" x14ac:dyDescent="0.25">
      <c r="A45" s="8">
        <v>2019</v>
      </c>
      <c r="B45" s="9" t="s">
        <v>14</v>
      </c>
      <c r="C45" s="42" t="s">
        <v>38</v>
      </c>
      <c r="D45" s="42"/>
      <c r="E45" s="42"/>
      <c r="F45" s="42"/>
      <c r="G45" s="42"/>
      <c r="H45" s="42"/>
      <c r="I45" s="42"/>
      <c r="J45" s="42"/>
      <c r="K45" s="42"/>
    </row>
    <row r="46" spans="1:11" ht="30.75" customHeight="1" x14ac:dyDescent="0.25">
      <c r="A46" s="8">
        <v>2020</v>
      </c>
      <c r="B46" s="9" t="s">
        <v>14</v>
      </c>
      <c r="C46" s="42" t="s">
        <v>42</v>
      </c>
      <c r="D46" s="42"/>
      <c r="E46" s="42"/>
      <c r="F46" s="42"/>
      <c r="G46" s="42"/>
      <c r="H46" s="42"/>
      <c r="I46" s="42"/>
      <c r="J46" s="42"/>
      <c r="K46" s="42"/>
    </row>
    <row r="47" spans="1:11" ht="15.75" x14ac:dyDescent="0.25">
      <c r="A47" s="8">
        <v>2020</v>
      </c>
      <c r="B47" s="9" t="s">
        <v>15</v>
      </c>
      <c r="C47" s="53" t="s">
        <v>41</v>
      </c>
      <c r="D47" s="53"/>
      <c r="E47" s="53"/>
      <c r="F47" s="53"/>
      <c r="G47" s="53"/>
      <c r="H47" s="53"/>
      <c r="I47" s="53"/>
      <c r="J47" s="53"/>
      <c r="K47" s="53"/>
    </row>
    <row r="48" spans="1:11" ht="15.75" x14ac:dyDescent="0.25">
      <c r="A48" s="8">
        <v>2021</v>
      </c>
      <c r="B48" s="9" t="s">
        <v>15</v>
      </c>
      <c r="C48" s="50" t="s">
        <v>43</v>
      </c>
      <c r="D48" s="51"/>
      <c r="E48" s="51"/>
      <c r="F48" s="51"/>
      <c r="G48" s="51"/>
      <c r="H48" s="51"/>
      <c r="I48" s="51"/>
      <c r="J48" s="51"/>
      <c r="K48" s="52"/>
    </row>
    <row r="49" spans="1:11" ht="15.75" x14ac:dyDescent="0.25">
      <c r="A49" s="8">
        <v>2021</v>
      </c>
      <c r="B49" s="9" t="s">
        <v>14</v>
      </c>
      <c r="C49" s="42" t="s">
        <v>44</v>
      </c>
      <c r="D49" s="42"/>
      <c r="E49" s="42"/>
      <c r="F49" s="42"/>
      <c r="G49" s="42"/>
      <c r="H49" s="42"/>
      <c r="I49" s="42"/>
      <c r="J49" s="42"/>
      <c r="K49" s="42"/>
    </row>
    <row r="50" spans="1:11" ht="15.75" x14ac:dyDescent="0.25">
      <c r="A50" s="8">
        <v>2022</v>
      </c>
      <c r="B50" s="9" t="s">
        <v>14</v>
      </c>
      <c r="C50" s="47" t="s">
        <v>45</v>
      </c>
      <c r="D50" s="48"/>
      <c r="E50" s="48"/>
      <c r="F50" s="48"/>
      <c r="G50" s="48"/>
      <c r="H50" s="48"/>
      <c r="I50" s="48"/>
      <c r="J50" s="48"/>
      <c r="K50" s="49"/>
    </row>
    <row r="51" spans="1:11" ht="15.75" x14ac:dyDescent="0.25">
      <c r="A51" s="8">
        <v>2022</v>
      </c>
      <c r="B51" s="9" t="s">
        <v>14</v>
      </c>
      <c r="C51" s="47" t="s">
        <v>46</v>
      </c>
      <c r="D51" s="48"/>
      <c r="E51" s="48"/>
      <c r="F51" s="48"/>
      <c r="G51" s="48"/>
      <c r="H51" s="48"/>
      <c r="I51" s="48"/>
      <c r="J51" s="48"/>
      <c r="K51" s="49"/>
    </row>
    <row r="52" spans="1:11" ht="44.25" customHeight="1" x14ac:dyDescent="0.25">
      <c r="A52" s="8">
        <v>2023</v>
      </c>
      <c r="B52" s="9" t="s">
        <v>14</v>
      </c>
      <c r="C52" s="42" t="s">
        <v>47</v>
      </c>
      <c r="D52" s="42"/>
      <c r="E52" s="42"/>
      <c r="F52" s="42"/>
      <c r="G52" s="42"/>
      <c r="H52" s="42"/>
      <c r="I52" s="42"/>
      <c r="J52" s="42"/>
      <c r="K52" s="42"/>
    </row>
    <row r="53" spans="1:11" ht="31.5" customHeight="1" x14ac:dyDescent="0.25">
      <c r="A53" s="8">
        <v>2024</v>
      </c>
      <c r="B53" s="9" t="s">
        <v>14</v>
      </c>
      <c r="C53" s="41" t="s">
        <v>48</v>
      </c>
      <c r="D53" s="42"/>
      <c r="E53" s="42"/>
      <c r="F53" s="42"/>
      <c r="G53" s="42"/>
      <c r="H53" s="42"/>
      <c r="I53" s="42"/>
      <c r="J53" s="42"/>
      <c r="K53" s="42"/>
    </row>
    <row r="54" spans="1:11" ht="41.25" customHeight="1" x14ac:dyDescent="0.25">
      <c r="A54" s="54">
        <v>2025</v>
      </c>
      <c r="B54" s="9" t="s">
        <v>14</v>
      </c>
      <c r="C54" s="38" t="s">
        <v>51</v>
      </c>
      <c r="D54" s="39"/>
      <c r="E54" s="39"/>
      <c r="F54" s="39"/>
      <c r="G54" s="39"/>
      <c r="H54" s="39"/>
      <c r="I54" s="39"/>
      <c r="J54" s="39"/>
      <c r="K54" s="40"/>
    </row>
  </sheetData>
  <mergeCells count="33">
    <mergeCell ref="C50:K50"/>
    <mergeCell ref="C27:K27"/>
    <mergeCell ref="A2:K2"/>
    <mergeCell ref="C28:K28"/>
    <mergeCell ref="C51:K51"/>
    <mergeCell ref="C34:K34"/>
    <mergeCell ref="C35:K35"/>
    <mergeCell ref="C36:K36"/>
    <mergeCell ref="C42:K42"/>
    <mergeCell ref="C41:K41"/>
    <mergeCell ref="C49:K49"/>
    <mergeCell ref="C48:K48"/>
    <mergeCell ref="C47:K47"/>
    <mergeCell ref="C43:K43"/>
    <mergeCell ref="C44:K44"/>
    <mergeCell ref="C46:K46"/>
    <mergeCell ref="C45:K45"/>
    <mergeCell ref="C54:K54"/>
    <mergeCell ref="C53:K53"/>
    <mergeCell ref="C52:K52"/>
    <mergeCell ref="A1:K1"/>
    <mergeCell ref="C37:K37"/>
    <mergeCell ref="C38:K38"/>
    <mergeCell ref="C39:K39"/>
    <mergeCell ref="C40:K40"/>
    <mergeCell ref="C29:K29"/>
    <mergeCell ref="C30:K30"/>
    <mergeCell ref="C31:K31"/>
    <mergeCell ref="C32:K32"/>
    <mergeCell ref="C33:K33"/>
    <mergeCell ref="C24:K24"/>
    <mergeCell ref="C25:K25"/>
    <mergeCell ref="C26:K26"/>
  </mergeCells>
  <pageMargins left="0.44" right="0.46" top="0.75" bottom="0.5" header="0.3" footer="0.3"/>
  <pageSetup scale="74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CLERKTREAS</dc:creator>
  <cp:lastModifiedBy>Chantell Steiner</cp:lastModifiedBy>
  <cp:lastPrinted>2026-01-22T22:46:29Z</cp:lastPrinted>
  <dcterms:created xsi:type="dcterms:W3CDTF">2018-02-21T17:34:14Z</dcterms:created>
  <dcterms:modified xsi:type="dcterms:W3CDTF">2026-01-22T22:46:37Z</dcterms:modified>
</cp:coreProperties>
</file>