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Y:\COUNCIL\COUNCIL TRANSPORTATION BENEFIT DISTRICT\TBD BUDGET\2023-2024\"/>
    </mc:Choice>
  </mc:AlternateContent>
  <xr:revisionPtr revIDLastSave="0" documentId="13_ncr:1_{1E381256-3284-4D92-8CCE-2BC393F84381}" xr6:coauthVersionLast="47" xr6:coauthVersionMax="47" xr10:uidLastSave="{00000000-0000-0000-0000-000000000000}"/>
  <bookViews>
    <workbookView xWindow="3345" yWindow="750" windowWidth="23925" windowHeight="14895" activeTab="1" xr2:uid="{00000000-000D-0000-FFFF-FFFF00000000}"/>
  </bookViews>
  <sheets>
    <sheet name="June 30" sheetId="8" r:id="rId1"/>
    <sheet name="Dec 31" sheetId="9" r:id="rId2"/>
    <sheet name="Dec 31 2023" sheetId="7" r:id="rId3"/>
    <sheet name="Sheet2" sheetId="2" r:id="rId4"/>
    <sheet name="Sheet3" sheetId="3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7" i="9" l="1"/>
  <c r="C26" i="9"/>
  <c r="F26" i="9"/>
  <c r="F51" i="9"/>
  <c r="F50" i="9"/>
  <c r="C37" i="9"/>
  <c r="F37" i="9"/>
  <c r="C38" i="9"/>
  <c r="F38" i="9"/>
  <c r="C42" i="9"/>
  <c r="C45" i="9"/>
  <c r="F45" i="9" s="1"/>
  <c r="F43" i="9"/>
  <c r="F42" i="9"/>
  <c r="C36" i="9"/>
  <c r="F36" i="9" s="1"/>
  <c r="C34" i="9"/>
  <c r="C25" i="9"/>
  <c r="F25" i="9" s="1"/>
  <c r="F27" i="9"/>
  <c r="C23" i="9"/>
  <c r="F34" i="9"/>
  <c r="C22" i="9"/>
  <c r="F22" i="9" s="1"/>
  <c r="B16" i="9"/>
  <c r="C16" i="9" s="1"/>
  <c r="B14" i="9"/>
  <c r="B12" i="9"/>
  <c r="C12" i="9" s="1"/>
  <c r="B8" i="9"/>
  <c r="C8" i="9" s="1"/>
  <c r="F35" i="7"/>
  <c r="C5" i="9"/>
  <c r="E5" i="9" s="1"/>
  <c r="F44" i="8"/>
  <c r="F36" i="7"/>
  <c r="E47" i="9"/>
  <c r="D47" i="9"/>
  <c r="F46" i="9"/>
  <c r="F44" i="9"/>
  <c r="F41" i="9"/>
  <c r="C40" i="9"/>
  <c r="F40" i="9" s="1"/>
  <c r="C39" i="9"/>
  <c r="F39" i="9" s="1"/>
  <c r="F35" i="9"/>
  <c r="F33" i="9"/>
  <c r="C32" i="9"/>
  <c r="F32" i="9" s="1"/>
  <c r="C31" i="9"/>
  <c r="F31" i="9" s="1"/>
  <c r="B30" i="9"/>
  <c r="F30" i="9" s="1"/>
  <c r="F29" i="9"/>
  <c r="C28" i="9"/>
  <c r="F28" i="9" s="1"/>
  <c r="C24" i="9"/>
  <c r="F24" i="9" s="1"/>
  <c r="F23" i="9"/>
  <c r="F21" i="9"/>
  <c r="C20" i="9"/>
  <c r="F20" i="9" s="1"/>
  <c r="F19" i="9"/>
  <c r="F18" i="9"/>
  <c r="F17" i="9"/>
  <c r="C15" i="9"/>
  <c r="F15" i="9" s="1"/>
  <c r="F13" i="9"/>
  <c r="F11" i="9"/>
  <c r="F10" i="9"/>
  <c r="F9" i="9"/>
  <c r="C14" i="9" l="1"/>
  <c r="F14" i="9" s="1"/>
  <c r="F16" i="9"/>
  <c r="B47" i="9"/>
  <c r="F12" i="9"/>
  <c r="C34" i="8"/>
  <c r="C33" i="8"/>
  <c r="C38" i="8"/>
  <c r="F38" i="8" s="1"/>
  <c r="F36" i="8"/>
  <c r="C36" i="8"/>
  <c r="C35" i="8"/>
  <c r="F35" i="8" s="1"/>
  <c r="F34" i="8"/>
  <c r="F33" i="8"/>
  <c r="C32" i="8"/>
  <c r="F32" i="8" s="1"/>
  <c r="C31" i="8"/>
  <c r="C30" i="8"/>
  <c r="F30" i="8" s="1"/>
  <c r="C21" i="8"/>
  <c r="F21" i="8" s="1"/>
  <c r="B28" i="8"/>
  <c r="C25" i="8"/>
  <c r="F25" i="8" s="1"/>
  <c r="C24" i="8"/>
  <c r="F24" i="8" s="1"/>
  <c r="C27" i="8"/>
  <c r="C26" i="8"/>
  <c r="C23" i="8"/>
  <c r="B22" i="8"/>
  <c r="F53" i="9" l="1"/>
  <c r="C47" i="9"/>
  <c r="F8" i="9"/>
  <c r="B16" i="8"/>
  <c r="C16" i="8" s="1"/>
  <c r="B14" i="8"/>
  <c r="C14" i="8" s="1"/>
  <c r="B12" i="8"/>
  <c r="C12" i="8" s="1"/>
  <c r="B8" i="8"/>
  <c r="C8" i="8" s="1"/>
  <c r="D40" i="8"/>
  <c r="F39" i="8"/>
  <c r="F37" i="8"/>
  <c r="F31" i="8"/>
  <c r="C29" i="8"/>
  <c r="F29" i="8" s="1"/>
  <c r="F28" i="8"/>
  <c r="F27" i="8"/>
  <c r="F26" i="8"/>
  <c r="F23" i="8"/>
  <c r="F22" i="8"/>
  <c r="C20" i="8"/>
  <c r="F20" i="8" s="1"/>
  <c r="F19" i="8"/>
  <c r="F18" i="8"/>
  <c r="F17" i="8"/>
  <c r="C15" i="8"/>
  <c r="F15" i="8" s="1"/>
  <c r="F13" i="8"/>
  <c r="F11" i="8"/>
  <c r="F10" i="8"/>
  <c r="F9" i="8"/>
  <c r="E5" i="8"/>
  <c r="C48" i="9" l="1"/>
  <c r="E48" i="9"/>
  <c r="D48" i="9"/>
  <c r="B48" i="9"/>
  <c r="E40" i="8"/>
  <c r="B40" i="8"/>
  <c r="F12" i="8"/>
  <c r="C40" i="8"/>
  <c r="F14" i="8"/>
  <c r="F16" i="8"/>
  <c r="F45" i="8"/>
  <c r="F8" i="8"/>
  <c r="F43" i="8" l="1"/>
  <c r="F40" i="8"/>
  <c r="F46" i="8"/>
  <c r="D41" i="8" l="1"/>
  <c r="E41" i="8"/>
  <c r="B41" i="8"/>
  <c r="C41" i="8"/>
  <c r="B26" i="7" l="1"/>
  <c r="C26" i="7" s="1"/>
  <c r="C32" i="7" s="1"/>
  <c r="B27" i="7"/>
  <c r="D32" i="7"/>
  <c r="E32" i="7"/>
  <c r="F30" i="7"/>
  <c r="C29" i="7"/>
  <c r="F29" i="7" s="1"/>
  <c r="E27" i="7"/>
  <c r="C23" i="7"/>
  <c r="F23" i="7" s="1"/>
  <c r="C22" i="7"/>
  <c r="C25" i="7"/>
  <c r="C24" i="7"/>
  <c r="B20" i="7"/>
  <c r="B19" i="7"/>
  <c r="B32" i="7" l="1"/>
  <c r="C18" i="7" l="1"/>
  <c r="F18" i="7" s="1"/>
  <c r="B14" i="7"/>
  <c r="C14" i="7" s="1"/>
  <c r="B12" i="7"/>
  <c r="C12" i="7" s="1"/>
  <c r="B8" i="7"/>
  <c r="C8" i="7" s="1"/>
  <c r="F37" i="7" l="1"/>
  <c r="F31" i="7"/>
  <c r="C28" i="7"/>
  <c r="F28" i="7" s="1"/>
  <c r="F27" i="7"/>
  <c r="F26" i="7"/>
  <c r="F25" i="7"/>
  <c r="F24" i="7"/>
  <c r="F22" i="7"/>
  <c r="C21" i="7"/>
  <c r="F21" i="7" s="1"/>
  <c r="F20" i="7"/>
  <c r="F19" i="7"/>
  <c r="F17" i="7"/>
  <c r="B16" i="7"/>
  <c r="C16" i="7" s="1"/>
  <c r="C15" i="7"/>
  <c r="F15" i="7" s="1"/>
  <c r="F13" i="7"/>
  <c r="F11" i="7"/>
  <c r="F10" i="7"/>
  <c r="F9" i="7"/>
  <c r="E5" i="7"/>
  <c r="F32" i="7" l="1"/>
  <c r="F16" i="7"/>
  <c r="F12" i="7"/>
  <c r="F14" i="7"/>
  <c r="F8" i="7" l="1"/>
  <c r="F38" i="7" l="1"/>
  <c r="E33" i="7"/>
  <c r="D33" i="7"/>
  <c r="C33" i="7"/>
  <c r="B33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CLERKTREAS</author>
    <author>Chantell Steiner</author>
  </authors>
  <commentList>
    <comment ref="F43" authorId="0" shapeId="0" xr:uid="{A733685A-DECF-4DE7-B9EE-FA3F684C1847}">
      <text>
        <r>
          <rPr>
            <b/>
            <sz val="9"/>
            <color indexed="81"/>
            <rFont val="Tahoma"/>
            <family val="2"/>
          </rPr>
          <t>CLERKTREAS:</t>
        </r>
        <r>
          <rPr>
            <sz val="9"/>
            <color indexed="81"/>
            <rFont val="Tahoma"/>
            <family val="2"/>
          </rPr>
          <t xml:space="preserve">
Insert actual street fund cash less TBD and REET funding remaining in cells below.
</t>
        </r>
      </text>
    </comment>
    <comment ref="F44" authorId="1" shapeId="0" xr:uid="{A4469C1C-1DE0-4B80-AD0D-6049FBBEE7FC}">
      <text>
        <r>
          <rPr>
            <b/>
            <sz val="9"/>
            <color indexed="81"/>
            <rFont val="Tahoma"/>
            <charset val="1"/>
          </rPr>
          <t>Chantell Steiner:</t>
        </r>
        <r>
          <rPr>
            <sz val="9"/>
            <color indexed="81"/>
            <rFont val="Tahoma"/>
            <charset val="1"/>
          </rPr>
          <t xml:space="preserve">
This balance includes a credit carryover of $214,825.97 in TBD Funds from 2023 that was due to the Street Fund and is coming out of 2024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Chantell Steiner</author>
    <author>CLERKTREAS</author>
  </authors>
  <commentList>
    <comment ref="E26" authorId="0" shapeId="0" xr:uid="{82088250-DB7A-4E33-BABC-C5A6E7BBFF81}">
      <text>
        <r>
          <rPr>
            <b/>
            <sz val="9"/>
            <color indexed="81"/>
            <rFont val="Tahoma"/>
            <charset val="1"/>
          </rPr>
          <t>Chantell Steiner:</t>
        </r>
        <r>
          <rPr>
            <sz val="9"/>
            <color indexed="81"/>
            <rFont val="Tahoma"/>
            <charset val="1"/>
          </rPr>
          <t xml:space="preserve">
Note this is the beginning of a $75K grant that the City has had for several years from TIB that was originally for Orchard St.  Use funds from engineering first and then remaining from construction in 2025.</t>
        </r>
      </text>
    </comment>
    <comment ref="F50" authorId="1" shapeId="0" xr:uid="{ACC812C0-89E7-42FF-A966-C491D40677FE}">
      <text>
        <r>
          <rPr>
            <b/>
            <sz val="9"/>
            <color indexed="81"/>
            <rFont val="Tahoma"/>
            <family val="2"/>
          </rPr>
          <t>CLERKTREAS:</t>
        </r>
        <r>
          <rPr>
            <sz val="9"/>
            <color indexed="81"/>
            <rFont val="Tahoma"/>
            <family val="2"/>
          </rPr>
          <t xml:space="preserve">
Insert actual street fund cash less TBD and REET funding remaining in cells below.
</t>
        </r>
      </text>
    </comment>
    <comment ref="F51" authorId="0" shapeId="0" xr:uid="{18A8EFDF-1648-4078-8F6E-AFD323DD6CEB}">
      <text>
        <r>
          <rPr>
            <b/>
            <sz val="9"/>
            <color indexed="81"/>
            <rFont val="Tahoma"/>
            <charset val="1"/>
          </rPr>
          <t>Chantell Steiner:</t>
        </r>
        <r>
          <rPr>
            <sz val="9"/>
            <color indexed="81"/>
            <rFont val="Tahoma"/>
            <charset val="1"/>
          </rPr>
          <t xml:space="preserve">
This balance includes a credit carryover of $214,825.97 in TBD Funds from 2023 that was due to the Street Fund and is coming out of 2024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CLERKTREAS</author>
  </authors>
  <commentList>
    <comment ref="F35" authorId="0" shapeId="0" xr:uid="{FB728291-0A94-4270-91A6-26BA65F50568}">
      <text>
        <r>
          <rPr>
            <b/>
            <sz val="9"/>
            <color indexed="81"/>
            <rFont val="Tahoma"/>
            <family val="2"/>
          </rPr>
          <t>CLERKTREAS:</t>
        </r>
        <r>
          <rPr>
            <sz val="9"/>
            <color indexed="81"/>
            <rFont val="Tahoma"/>
            <family val="2"/>
          </rPr>
          <t xml:space="preserve">
Insert actual street fund cash less TBD and REET funding remaining in cells below.
</t>
        </r>
      </text>
    </comment>
  </commentList>
</comments>
</file>

<file path=xl/sharedStrings.xml><?xml version="1.0" encoding="utf-8"?>
<sst xmlns="http://schemas.openxmlformats.org/spreadsheetml/2006/main" count="173" uniqueCount="82">
  <si>
    <t>TBD Remaining Funds</t>
  </si>
  <si>
    <t>TBD Revenue / Expenses</t>
  </si>
  <si>
    <t>TBD Funds</t>
  </si>
  <si>
    <t>City Street Funds</t>
  </si>
  <si>
    <t>Total Project Cost</t>
  </si>
  <si>
    <t>Project Description</t>
  </si>
  <si>
    <t>Traffic Control Supplies</t>
  </si>
  <si>
    <t>Sidewalk Repairs</t>
  </si>
  <si>
    <t>Street Lighting: Supplies, Utilities, Repairs</t>
  </si>
  <si>
    <t>Street Cleaning</t>
  </si>
  <si>
    <t>TOTALS</t>
  </si>
  <si>
    <t>Loans or Grants</t>
  </si>
  <si>
    <t>City Transportation Expenses</t>
  </si>
  <si>
    <t>TBD Revenue Received (Includes Current Year Beginning Fund Balance)</t>
  </si>
  <si>
    <t>Capital Expenses</t>
  </si>
  <si>
    <t>Debt Expenses</t>
  </si>
  <si>
    <t>Loan Expenses</t>
  </si>
  <si>
    <t>Operations Expenses</t>
  </si>
  <si>
    <t>Percent of Total</t>
  </si>
  <si>
    <t>PWTF 09 Engineering &amp; 2012 Front Street Construction Loan Debt Payments for Residential and Commercial Projects</t>
  </si>
  <si>
    <t>Real Estate Excise Tax Funds</t>
  </si>
  <si>
    <t>Transfer to City Street Fund</t>
  </si>
  <si>
    <t>Residential Road/Street Construction</t>
  </si>
  <si>
    <t>Total Fund Status with Remaining Transfer from TBD</t>
  </si>
  <si>
    <t>None at this time</t>
  </si>
  <si>
    <t>REET Remaining Funds in the Street Fund ($0.00 Funding)</t>
  </si>
  <si>
    <t>Pine Street Phase II Study</t>
  </si>
  <si>
    <t>Roadway Engineering &amp; Maintenance Costs (Personnel Included) - 80% Street Fund; 20% TBD</t>
  </si>
  <si>
    <t>Street Admin &amp; Overhead 80% Street Fund; 20% TBD</t>
  </si>
  <si>
    <t>TIB 2022 - Ski Hill Sidewalks - Const.</t>
  </si>
  <si>
    <t>TIB 2022 - Ski Hill Sidewalks - Const. Admin</t>
  </si>
  <si>
    <t>TBD Remaining Funds in the Street Fund</t>
  </si>
  <si>
    <t>City Current Funding Status in the Street Fund (includes YTD transfer from TBD less any TBD/REET remaining to be spent this year from cells below)</t>
  </si>
  <si>
    <t>TBD Expenses or Other Transfers to Transportation Projects</t>
  </si>
  <si>
    <t>TIB 2022 - Ski Hill Sidewalks - Eng.</t>
  </si>
  <si>
    <t>2023 Leavenworth Transportation Benefit District / City Revenue and Expense Project Tracking</t>
  </si>
  <si>
    <t>Snow &amp; Ice Control - 80% Street Fund; 20% TBD</t>
  </si>
  <si>
    <t>Loader Snowblower (2020 Expenditure moved to 2023) (25% of $237.5K)</t>
  </si>
  <si>
    <t>Riverbend Intersection Study (2019 Expenditure moved to 2023)</t>
  </si>
  <si>
    <t>Annual Roadway Preventative Maint.</t>
  </si>
  <si>
    <t>Sweeper Material Disposal</t>
  </si>
  <si>
    <t>WSDOT Paving - 12th &amp; Chumstick</t>
  </si>
  <si>
    <t>2023 - Orchard Street Construction</t>
  </si>
  <si>
    <t>As of December 31, 2023</t>
  </si>
  <si>
    <t>Traffic Radar Sign</t>
  </si>
  <si>
    <t>2022 Snow Emerg. FEMA Grant - Final Reimb in 2023/charged to TBD Funds</t>
  </si>
  <si>
    <t>TIB 2024 - Scrub Seal Red Town Eng.</t>
  </si>
  <si>
    <t>ROW Acq - Ski Hill Sidewalks</t>
  </si>
  <si>
    <t>*  5% - 20% of costs for Roadway Maintenance/Street Administration is necessary to offset costs incurred for personnel, and operations related to street maintenance/preservation.</t>
  </si>
  <si>
    <t xml:space="preserve">This is a credit due to the Street Fund from the TBD Fund that will occur in the biennium and will be transferred in 2024. </t>
  </si>
  <si>
    <t>2024 Leavenworth Transportation Benefit District / City Revenue and Expense Project Tracking</t>
  </si>
  <si>
    <t>As of June 30, 2024</t>
  </si>
  <si>
    <t>Riverbend Intersection Study (2019 Expenditure moved to 2024)</t>
  </si>
  <si>
    <t>2024 TIB Street Maint. - Eng</t>
  </si>
  <si>
    <t>WSDOT STBG/TA-Ski Hill P. II - Eng.</t>
  </si>
  <si>
    <t>USDOT-Safe Street/Roads Plan</t>
  </si>
  <si>
    <t>2024 - Central Ave - Const.</t>
  </si>
  <si>
    <t>TIB 2024 - Central Ave - Eng.</t>
  </si>
  <si>
    <t>2024 Sidewalk Add. Commercial &amp; Scholze</t>
  </si>
  <si>
    <t>2024 TIB Street Maint. - Const.</t>
  </si>
  <si>
    <t>WSDOT STBG/TA-Ski Hill P. II - Const.</t>
  </si>
  <si>
    <t>TIB 2024 - Scrub Seal Red Town Const.</t>
  </si>
  <si>
    <t>WSDOT Salt Shed</t>
  </si>
  <si>
    <t>Chum-Titus Multiuse Trail</t>
  </si>
  <si>
    <t>2024 TIB Street Maint. - Const. Admin</t>
  </si>
  <si>
    <t>WSDOT STBG/TA-Ski Hill P. II - Const. Admin</t>
  </si>
  <si>
    <t>TBD funds of $214,825.97 were due to the Street Fund in 2023; this balance includes use of that credit plus costs utilized thus far this year; 50% of TBD funds are remaining to be transferred in.</t>
  </si>
  <si>
    <t>As of December 31, 2024</t>
  </si>
  <si>
    <t>Bobcat - Downtown Sidewalks 25% St 75% LT</t>
  </si>
  <si>
    <t>TIB 2024 Curb Ramps - Eng.</t>
  </si>
  <si>
    <t>ROW Land Purchase</t>
  </si>
  <si>
    <t>TBD funds of $214,825.97 were due to the Street Fund in 2023; this balance includes use of that credit plus costs utilized this year.</t>
  </si>
  <si>
    <t>TIB 2024 - Scrub Seal Red Town - Const. Admin</t>
  </si>
  <si>
    <t>TIB 2024 - Street Maint. - Const. Admin</t>
  </si>
  <si>
    <t>TIB 2024 - Curb Ramps - Const. Admin</t>
  </si>
  <si>
    <t>TIB 2024 - Comm. St. Railing - Const. Admin</t>
  </si>
  <si>
    <t>TIB 2024 - Curb Ramps - Const.</t>
  </si>
  <si>
    <t>TIB 2024 - Comm. St. Railing - Const. Admin - $75K TIB Grant</t>
  </si>
  <si>
    <t>TIB 2024 Comm. St. Railing - Eng. - $75K TIB Grant</t>
  </si>
  <si>
    <t>REET Remaining Funds in the Street Fund</t>
  </si>
  <si>
    <t>Total Street Fund Status with Remaining Transfer from TBD</t>
  </si>
  <si>
    <t>Street Fund Current Fund Balance (includes YTD transfer from TBD less any TBD/REET remaining to be spent this year from cells below)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</si>
</sst>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%"/>
  </numFmts>
  <fonts count="10" x14ac:knownFonts="1">
    <font>
      <sz val="10"/>
      <color theme="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4"/>
      <color theme="1"/>
      <name val="Arial"/>
      <family val="2"/>
    </font>
    <font>
      <u/>
      <sz val="10"/>
      <color theme="1"/>
      <name val="Arial"/>
      <family val="2"/>
    </font>
    <font>
      <b/>
      <sz val="14"/>
      <color theme="1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29">
    <xf numFmtId="0" fontId="0" fillId="0" borderId="0" xfId="0"/>
    <xf numFmtId="0" fontId="5" fillId="0" borderId="0" xfId="0" applyFont="1" applyAlignment="1">
      <alignment horizontal="left" wrapText="1"/>
    </xf>
    <xf numFmtId="0" fontId="0" fillId="0" borderId="0" xfId="0" applyAlignment="1">
      <alignment horizontal="left"/>
    </xf>
    <xf numFmtId="0" fontId="0" fillId="0" borderId="0" xfId="0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4" fontId="0" fillId="0" borderId="0" xfId="0" applyNumberFormat="1"/>
    <xf numFmtId="0" fontId="0" fillId="0" borderId="2" xfId="0" applyBorder="1"/>
    <xf numFmtId="0" fontId="0" fillId="0" borderId="2" xfId="0" applyBorder="1" applyAlignment="1">
      <alignment wrapText="1"/>
    </xf>
    <xf numFmtId="43" fontId="3" fillId="2" borderId="2" xfId="1" applyFont="1" applyFill="1" applyBorder="1"/>
    <xf numFmtId="0" fontId="4" fillId="0" borderId="0" xfId="0" applyFont="1"/>
    <xf numFmtId="44" fontId="0" fillId="0" borderId="0" xfId="0" applyNumberFormat="1"/>
    <xf numFmtId="43" fontId="0" fillId="0" borderId="0" xfId="0" applyNumberFormat="1"/>
    <xf numFmtId="43" fontId="3" fillId="0" borderId="2" xfId="1" applyFont="1" applyBorder="1"/>
    <xf numFmtId="43" fontId="3" fillId="0" borderId="2" xfId="1" applyFont="1" applyFill="1" applyBorder="1"/>
    <xf numFmtId="43" fontId="3" fillId="3" borderId="2" xfId="1" applyFont="1" applyFill="1" applyBorder="1"/>
    <xf numFmtId="40" fontId="4" fillId="0" borderId="0" xfId="2" applyNumberFormat="1" applyFont="1"/>
    <xf numFmtId="8" fontId="0" fillId="0" borderId="0" xfId="0" applyNumberFormat="1"/>
    <xf numFmtId="40" fontId="4" fillId="0" borderId="0" xfId="2" applyNumberFormat="1" applyFont="1" applyFill="1"/>
    <xf numFmtId="40" fontId="4" fillId="0" borderId="4" xfId="2" applyNumberFormat="1" applyFont="1" applyFill="1" applyBorder="1"/>
    <xf numFmtId="43" fontId="4" fillId="0" borderId="3" xfId="0" applyNumberFormat="1" applyFont="1" applyBorder="1"/>
    <xf numFmtId="43" fontId="3" fillId="0" borderId="0" xfId="1" applyFont="1" applyFill="1" applyBorder="1"/>
    <xf numFmtId="0" fontId="0" fillId="0" borderId="0" xfId="0" applyAlignment="1">
      <alignment wrapText="1"/>
    </xf>
    <xf numFmtId="0" fontId="6" fillId="0" borderId="0" xfId="0" applyFont="1" applyAlignment="1">
      <alignment horizontal="center" vertical="center" wrapText="1"/>
    </xf>
    <xf numFmtId="164" fontId="4" fillId="0" borderId="0" xfId="0" applyNumberFormat="1" applyFont="1" applyAlignment="1">
      <alignment horizontal="left"/>
    </xf>
    <xf numFmtId="43" fontId="0" fillId="0" borderId="0" xfId="1" applyFont="1"/>
    <xf numFmtId="165" fontId="3" fillId="0" borderId="0" xfId="3" applyNumberFormat="1" applyFont="1"/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4" fillId="0" borderId="0" xfId="0" applyFont="1" applyAlignment="1">
      <alignment horizontal="left" wrapText="1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0457CE-6289-410F-A905-386B7B1E833A}">
  <sheetPr>
    <pageSetUpPr fitToPage="1"/>
  </sheetPr>
  <dimension ref="A1:J49"/>
  <sheetViews>
    <sheetView topLeftCell="A18" workbookViewId="0">
      <selection activeCell="G45" sqref="G45"/>
    </sheetView>
  </sheetViews>
  <sheetFormatPr defaultRowHeight="12.75" x14ac:dyDescent="0.2"/>
  <cols>
    <col min="1" max="1" width="20" customWidth="1"/>
    <col min="2" max="2" width="16.7109375" customWidth="1"/>
    <col min="3" max="3" width="13.7109375" bestFit="1" customWidth="1"/>
    <col min="4" max="4" width="13.7109375" customWidth="1"/>
    <col min="5" max="5" width="14.7109375" customWidth="1"/>
    <col min="6" max="6" width="15.28515625" customWidth="1"/>
    <col min="7" max="7" width="66.140625" customWidth="1"/>
    <col min="9" max="9" width="11.28515625" bestFit="1" customWidth="1"/>
    <col min="10" max="10" width="11.85546875" bestFit="1" customWidth="1"/>
  </cols>
  <sheetData>
    <row r="1" spans="1:10" ht="18" x14ac:dyDescent="0.25">
      <c r="A1" s="26" t="s">
        <v>50</v>
      </c>
      <c r="B1" s="26"/>
      <c r="C1" s="26"/>
      <c r="D1" s="26"/>
      <c r="E1" s="26"/>
      <c r="F1" s="26"/>
      <c r="G1" s="26"/>
    </row>
    <row r="2" spans="1:10" ht="18" x14ac:dyDescent="0.25">
      <c r="B2" s="27" t="s">
        <v>51</v>
      </c>
      <c r="C2" s="27"/>
      <c r="D2" s="27"/>
      <c r="E2" s="27"/>
      <c r="F2" s="27"/>
    </row>
    <row r="4" spans="1:10" ht="63.75" x14ac:dyDescent="0.25">
      <c r="A4" s="1" t="s">
        <v>1</v>
      </c>
      <c r="B4" s="4" t="s">
        <v>13</v>
      </c>
      <c r="C4" s="4" t="s">
        <v>21</v>
      </c>
      <c r="D4" s="4" t="s">
        <v>33</v>
      </c>
      <c r="E4" s="4" t="s">
        <v>0</v>
      </c>
      <c r="G4" s="22"/>
    </row>
    <row r="5" spans="1:10" x14ac:dyDescent="0.2">
      <c r="A5" s="2"/>
      <c r="B5" s="14">
        <v>1363491.2</v>
      </c>
      <c r="C5" s="8">
        <v>494476</v>
      </c>
      <c r="D5" s="8">
        <v>0</v>
      </c>
      <c r="E5" s="8">
        <f>B5-C5-D5</f>
        <v>869015.2</v>
      </c>
      <c r="F5" s="20"/>
      <c r="G5" s="3"/>
    </row>
    <row r="6" spans="1:10" x14ac:dyDescent="0.2">
      <c r="A6" s="2"/>
    </row>
    <row r="7" spans="1:10" ht="54" x14ac:dyDescent="0.25">
      <c r="A7" s="1" t="s">
        <v>12</v>
      </c>
      <c r="B7" s="3" t="s">
        <v>2</v>
      </c>
      <c r="C7" s="3" t="s">
        <v>3</v>
      </c>
      <c r="D7" s="3" t="s">
        <v>20</v>
      </c>
      <c r="E7" s="3" t="s">
        <v>11</v>
      </c>
      <c r="F7" s="3" t="s">
        <v>4</v>
      </c>
      <c r="G7" s="3" t="s">
        <v>5</v>
      </c>
    </row>
    <row r="8" spans="1:10" ht="25.5" x14ac:dyDescent="0.2">
      <c r="A8" t="s">
        <v>17</v>
      </c>
      <c r="B8" s="13">
        <f>195841.56*0.2</f>
        <v>39168.311999999998</v>
      </c>
      <c r="C8" s="13">
        <f>195841.56-B8-D8-E8</f>
        <v>156673.24799999999</v>
      </c>
      <c r="D8" s="13">
        <v>0</v>
      </c>
      <c r="E8" s="12">
        <v>0</v>
      </c>
      <c r="F8" s="12">
        <f>SUM(B8:E8)</f>
        <v>195841.56</v>
      </c>
      <c r="G8" s="7" t="s">
        <v>27</v>
      </c>
    </row>
    <row r="9" spans="1:10" x14ac:dyDescent="0.2">
      <c r="B9" s="13">
        <v>0</v>
      </c>
      <c r="C9" s="13">
        <v>0</v>
      </c>
      <c r="D9" s="13">
        <v>0</v>
      </c>
      <c r="E9" s="12">
        <v>0</v>
      </c>
      <c r="F9" s="12">
        <f t="shared" ref="F9:F39" si="0">SUM(B9:E9)</f>
        <v>0</v>
      </c>
      <c r="G9" s="6" t="s">
        <v>7</v>
      </c>
    </row>
    <row r="10" spans="1:10" x14ac:dyDescent="0.2">
      <c r="B10" s="13">
        <v>0</v>
      </c>
      <c r="C10" s="13">
        <v>6872.29</v>
      </c>
      <c r="D10" s="13">
        <v>0</v>
      </c>
      <c r="E10" s="12">
        <v>0</v>
      </c>
      <c r="F10" s="12">
        <f t="shared" si="0"/>
        <v>6872.29</v>
      </c>
      <c r="G10" s="6" t="s">
        <v>8</v>
      </c>
    </row>
    <row r="11" spans="1:10" x14ac:dyDescent="0.2">
      <c r="B11" s="13">
        <v>0</v>
      </c>
      <c r="C11" s="13">
        <v>293.29000000000002</v>
      </c>
      <c r="D11" s="13">
        <v>0</v>
      </c>
      <c r="E11" s="12">
        <v>0</v>
      </c>
      <c r="F11" s="12">
        <f t="shared" si="0"/>
        <v>293.29000000000002</v>
      </c>
      <c r="G11" s="6" t="s">
        <v>6</v>
      </c>
    </row>
    <row r="12" spans="1:10" x14ac:dyDescent="0.2">
      <c r="B12" s="13">
        <f>12042.73*0.2</f>
        <v>2408.5459999999998</v>
      </c>
      <c r="C12" s="13">
        <f>12042.73-B12-D12-E12</f>
        <v>9634.1839999999993</v>
      </c>
      <c r="D12" s="13">
        <v>0</v>
      </c>
      <c r="E12" s="12">
        <v>0</v>
      </c>
      <c r="F12" s="12">
        <f t="shared" si="0"/>
        <v>12042.73</v>
      </c>
      <c r="G12" s="6" t="s">
        <v>36</v>
      </c>
    </row>
    <row r="13" spans="1:10" x14ac:dyDescent="0.2">
      <c r="B13" s="13">
        <v>0</v>
      </c>
      <c r="C13" s="13">
        <v>17877.439999999999</v>
      </c>
      <c r="D13" s="13">
        <v>0</v>
      </c>
      <c r="E13" s="12">
        <v>0</v>
      </c>
      <c r="F13" s="12">
        <f t="shared" si="0"/>
        <v>17877.439999999999</v>
      </c>
      <c r="G13" s="6" t="s">
        <v>9</v>
      </c>
    </row>
    <row r="14" spans="1:10" x14ac:dyDescent="0.2">
      <c r="B14" s="13">
        <f>271297.28*0.2</f>
        <v>54259.456000000006</v>
      </c>
      <c r="C14" s="13">
        <f>271297.28-B14-D14-E14</f>
        <v>217037.82400000002</v>
      </c>
      <c r="D14" s="13">
        <v>0</v>
      </c>
      <c r="E14" s="12">
        <v>0</v>
      </c>
      <c r="F14" s="12">
        <f t="shared" si="0"/>
        <v>271297.28000000003</v>
      </c>
      <c r="G14" s="7" t="s">
        <v>28</v>
      </c>
    </row>
    <row r="15" spans="1:10" x14ac:dyDescent="0.2">
      <c r="A15" t="s">
        <v>16</v>
      </c>
      <c r="B15" s="13">
        <v>0</v>
      </c>
      <c r="C15" s="13">
        <f t="shared" ref="C15:C21" si="1">-B15-D15-E15</f>
        <v>0</v>
      </c>
      <c r="D15" s="13">
        <v>0</v>
      </c>
      <c r="E15" s="12">
        <v>0</v>
      </c>
      <c r="F15" s="12">
        <f t="shared" si="0"/>
        <v>0</v>
      </c>
      <c r="G15" s="6" t="s">
        <v>24</v>
      </c>
    </row>
    <row r="16" spans="1:10" ht="26.25" customHeight="1" x14ac:dyDescent="0.2">
      <c r="A16" t="s">
        <v>15</v>
      </c>
      <c r="B16" s="13">
        <f>56924.35+3195.25</f>
        <v>60119.6</v>
      </c>
      <c r="C16" s="13">
        <f>60119.6-B16-D16-E16</f>
        <v>0</v>
      </c>
      <c r="D16" s="13">
        <v>0</v>
      </c>
      <c r="E16" s="12">
        <v>0</v>
      </c>
      <c r="F16" s="12">
        <f t="shared" si="0"/>
        <v>60119.6</v>
      </c>
      <c r="G16" s="7" t="s">
        <v>19</v>
      </c>
      <c r="J16" s="11"/>
    </row>
    <row r="17" spans="1:9" x14ac:dyDescent="0.2">
      <c r="A17" t="s">
        <v>14</v>
      </c>
      <c r="B17" s="13">
        <v>0</v>
      </c>
      <c r="C17" s="13">
        <v>0</v>
      </c>
      <c r="D17" s="13">
        <v>0</v>
      </c>
      <c r="E17" s="13">
        <v>0</v>
      </c>
      <c r="F17" s="12">
        <f>SUM(B17:E17)</f>
        <v>0</v>
      </c>
      <c r="G17" s="6" t="s">
        <v>44</v>
      </c>
    </row>
    <row r="18" spans="1:9" x14ac:dyDescent="0.2">
      <c r="B18" s="13">
        <v>-6354.34</v>
      </c>
      <c r="C18" s="13">
        <v>0</v>
      </c>
      <c r="D18" s="13">
        <v>0</v>
      </c>
      <c r="E18" s="13">
        <v>6354.34</v>
      </c>
      <c r="F18" s="12">
        <f t="shared" si="0"/>
        <v>0</v>
      </c>
      <c r="G18" s="6" t="s">
        <v>26</v>
      </c>
      <c r="I18" s="11"/>
    </row>
    <row r="19" spans="1:9" x14ac:dyDescent="0.2">
      <c r="B19" s="13">
        <v>-19199.3</v>
      </c>
      <c r="C19" s="13">
        <v>0</v>
      </c>
      <c r="D19" s="13">
        <v>0</v>
      </c>
      <c r="E19" s="13">
        <v>19199.3</v>
      </c>
      <c r="F19" s="12">
        <f t="shared" si="0"/>
        <v>0</v>
      </c>
      <c r="G19" s="6" t="s">
        <v>34</v>
      </c>
    </row>
    <row r="20" spans="1:9" x14ac:dyDescent="0.2">
      <c r="B20" s="13">
        <v>0</v>
      </c>
      <c r="C20" s="13">
        <f t="shared" si="1"/>
        <v>0</v>
      </c>
      <c r="D20" s="13">
        <v>0</v>
      </c>
      <c r="E20" s="13">
        <v>0</v>
      </c>
      <c r="F20" s="12">
        <f t="shared" si="0"/>
        <v>0</v>
      </c>
      <c r="G20" s="6" t="s">
        <v>52</v>
      </c>
    </row>
    <row r="21" spans="1:9" x14ac:dyDescent="0.2">
      <c r="B21" s="13">
        <v>0</v>
      </c>
      <c r="C21" s="13">
        <f t="shared" si="1"/>
        <v>0</v>
      </c>
      <c r="D21" s="13">
        <v>0</v>
      </c>
      <c r="E21" s="13">
        <v>0</v>
      </c>
      <c r="F21" s="12">
        <f t="shared" ref="F21" si="2">SUM(B21:E21)</f>
        <v>0</v>
      </c>
      <c r="G21" s="6" t="s">
        <v>57</v>
      </c>
    </row>
    <row r="22" spans="1:9" x14ac:dyDescent="0.2">
      <c r="B22" s="13">
        <f>-24189.17+21717.31</f>
        <v>-2471.8599999999969</v>
      </c>
      <c r="C22" s="13">
        <v>0</v>
      </c>
      <c r="D22" s="13">
        <v>0</v>
      </c>
      <c r="E22" s="13">
        <v>24189.17</v>
      </c>
      <c r="F22" s="12">
        <f t="shared" ref="F22:F36" si="3">SUM(B22:E22)</f>
        <v>21717.31</v>
      </c>
      <c r="G22" s="6" t="s">
        <v>46</v>
      </c>
    </row>
    <row r="23" spans="1:9" x14ac:dyDescent="0.2">
      <c r="B23" s="13">
        <v>11150.42</v>
      </c>
      <c r="C23" s="13">
        <f>11150.42-B23-D23-E23</f>
        <v>0</v>
      </c>
      <c r="D23" s="13">
        <v>0</v>
      </c>
      <c r="E23" s="13">
        <v>0</v>
      </c>
      <c r="F23" s="12">
        <f t="shared" si="3"/>
        <v>11150.42</v>
      </c>
      <c r="G23" s="6" t="s">
        <v>53</v>
      </c>
    </row>
    <row r="24" spans="1:9" x14ac:dyDescent="0.2">
      <c r="B24" s="13">
        <v>0</v>
      </c>
      <c r="C24" s="13">
        <f>-B24-D24-E24</f>
        <v>0</v>
      </c>
      <c r="D24" s="13">
        <v>0</v>
      </c>
      <c r="E24" s="13">
        <v>0</v>
      </c>
      <c r="F24" s="12">
        <f t="shared" ref="F24" si="4">SUM(B24:E24)</f>
        <v>0</v>
      </c>
      <c r="G24" s="6" t="s">
        <v>54</v>
      </c>
    </row>
    <row r="25" spans="1:9" x14ac:dyDescent="0.2">
      <c r="B25" s="13">
        <v>0</v>
      </c>
      <c r="C25" s="13">
        <f>-B25-D25-E25</f>
        <v>0</v>
      </c>
      <c r="D25" s="13">
        <v>0</v>
      </c>
      <c r="E25" s="13">
        <v>0</v>
      </c>
      <c r="F25" s="12">
        <f t="shared" ref="F25" si="5">SUM(B25:E25)</f>
        <v>0</v>
      </c>
      <c r="G25" s="6" t="s">
        <v>55</v>
      </c>
    </row>
    <row r="26" spans="1:9" x14ac:dyDescent="0.2">
      <c r="B26" s="13">
        <v>0</v>
      </c>
      <c r="C26" s="13">
        <f>0-B26-D26-E26</f>
        <v>0</v>
      </c>
      <c r="D26" s="13">
        <v>0</v>
      </c>
      <c r="E26" s="13">
        <v>0</v>
      </c>
      <c r="F26" s="12">
        <f t="shared" si="3"/>
        <v>0</v>
      </c>
      <c r="G26" s="6" t="s">
        <v>22</v>
      </c>
    </row>
    <row r="27" spans="1:9" x14ac:dyDescent="0.2">
      <c r="B27" s="13">
        <v>8057.95</v>
      </c>
      <c r="C27" s="13">
        <f>8057.95-B27-D27-E27</f>
        <v>0</v>
      </c>
      <c r="D27" s="13">
        <v>0</v>
      </c>
      <c r="E27" s="13">
        <v>0</v>
      </c>
      <c r="F27" s="12">
        <f t="shared" si="3"/>
        <v>8057.95</v>
      </c>
      <c r="G27" s="6" t="s">
        <v>39</v>
      </c>
    </row>
    <row r="28" spans="1:9" x14ac:dyDescent="0.2">
      <c r="B28" s="13">
        <f>0-E28</f>
        <v>0</v>
      </c>
      <c r="C28" s="13">
        <v>0</v>
      </c>
      <c r="D28" s="13">
        <v>0</v>
      </c>
      <c r="E28" s="13">
        <v>0</v>
      </c>
      <c r="F28" s="12">
        <f t="shared" si="3"/>
        <v>0</v>
      </c>
      <c r="G28" s="6" t="s">
        <v>29</v>
      </c>
    </row>
    <row r="29" spans="1:9" x14ac:dyDescent="0.2">
      <c r="B29" s="13">
        <v>0</v>
      </c>
      <c r="C29" s="13">
        <f t="shared" ref="C29" si="6">-B29-D29-E29</f>
        <v>0</v>
      </c>
      <c r="D29" s="13">
        <v>0</v>
      </c>
      <c r="E29" s="13">
        <v>0</v>
      </c>
      <c r="F29" s="12">
        <f t="shared" si="3"/>
        <v>0</v>
      </c>
      <c r="G29" s="6" t="s">
        <v>56</v>
      </c>
    </row>
    <row r="30" spans="1:9" x14ac:dyDescent="0.2">
      <c r="B30" s="13">
        <v>0</v>
      </c>
      <c r="C30" s="13">
        <f t="shared" ref="C30" si="7">-B30-D30-E30</f>
        <v>0</v>
      </c>
      <c r="D30" s="13">
        <v>0</v>
      </c>
      <c r="E30" s="13">
        <v>0</v>
      </c>
      <c r="F30" s="12">
        <f t="shared" ref="F30" si="8">SUM(B30:E30)</f>
        <v>0</v>
      </c>
      <c r="G30" s="6" t="s">
        <v>58</v>
      </c>
    </row>
    <row r="31" spans="1:9" x14ac:dyDescent="0.2">
      <c r="B31" s="13">
        <v>2180.0300000000002</v>
      </c>
      <c r="C31" s="13">
        <f>2180.03-B31-D31-E31</f>
        <v>0</v>
      </c>
      <c r="D31" s="13">
        <v>0</v>
      </c>
      <c r="E31" s="13">
        <v>0</v>
      </c>
      <c r="F31" s="12">
        <f t="shared" si="3"/>
        <v>2180.0300000000002</v>
      </c>
      <c r="G31" s="6" t="s">
        <v>41</v>
      </c>
    </row>
    <row r="32" spans="1:9" x14ac:dyDescent="0.2">
      <c r="B32" s="13">
        <v>0</v>
      </c>
      <c r="C32" s="13">
        <f t="shared" ref="C32:C36" si="9">-B32-D32-E32</f>
        <v>0</v>
      </c>
      <c r="D32" s="13">
        <v>0</v>
      </c>
      <c r="E32" s="13">
        <v>0</v>
      </c>
      <c r="F32" s="12">
        <f t="shared" si="3"/>
        <v>0</v>
      </c>
      <c r="G32" s="6" t="s">
        <v>59</v>
      </c>
    </row>
    <row r="33" spans="1:10" x14ac:dyDescent="0.2">
      <c r="B33" s="13">
        <v>1270.92</v>
      </c>
      <c r="C33" s="13">
        <f>1270.92-B33-D33-E33</f>
        <v>0</v>
      </c>
      <c r="D33" s="13">
        <v>0</v>
      </c>
      <c r="E33" s="13">
        <v>0</v>
      </c>
      <c r="F33" s="12">
        <f t="shared" si="3"/>
        <v>1270.92</v>
      </c>
      <c r="G33" s="6" t="s">
        <v>60</v>
      </c>
    </row>
    <row r="34" spans="1:10" x14ac:dyDescent="0.2">
      <c r="B34" s="13">
        <v>1890.94</v>
      </c>
      <c r="C34" s="13">
        <f>1890.94-B34-D34-E34</f>
        <v>0</v>
      </c>
      <c r="D34" s="13">
        <v>0</v>
      </c>
      <c r="E34" s="13">
        <v>0</v>
      </c>
      <c r="F34" s="12">
        <f t="shared" si="3"/>
        <v>1890.94</v>
      </c>
      <c r="G34" s="6" t="s">
        <v>61</v>
      </c>
    </row>
    <row r="35" spans="1:10" x14ac:dyDescent="0.2">
      <c r="B35" s="13">
        <v>0</v>
      </c>
      <c r="C35" s="13">
        <f t="shared" si="9"/>
        <v>0</v>
      </c>
      <c r="D35" s="13">
        <v>0</v>
      </c>
      <c r="E35" s="13">
        <v>0</v>
      </c>
      <c r="F35" s="12">
        <f t="shared" si="3"/>
        <v>0</v>
      </c>
      <c r="G35" s="6" t="s">
        <v>62</v>
      </c>
    </row>
    <row r="36" spans="1:10" x14ac:dyDescent="0.2">
      <c r="B36" s="13">
        <v>0</v>
      </c>
      <c r="C36" s="13">
        <f t="shared" si="9"/>
        <v>0</v>
      </c>
      <c r="D36" s="13">
        <v>0</v>
      </c>
      <c r="E36" s="13">
        <v>0</v>
      </c>
      <c r="F36" s="12">
        <f t="shared" si="3"/>
        <v>0</v>
      </c>
      <c r="G36" s="6" t="s">
        <v>63</v>
      </c>
    </row>
    <row r="37" spans="1:10" x14ac:dyDescent="0.2">
      <c r="B37" s="13">
        <v>0</v>
      </c>
      <c r="C37" s="13">
        <v>0</v>
      </c>
      <c r="D37" s="13">
        <v>0</v>
      </c>
      <c r="E37" s="13">
        <v>0</v>
      </c>
      <c r="F37" s="12">
        <f t="shared" ref="F37:F38" si="10">SUM(B37:E37)</f>
        <v>0</v>
      </c>
      <c r="G37" s="6" t="s">
        <v>30</v>
      </c>
    </row>
    <row r="38" spans="1:10" x14ac:dyDescent="0.2">
      <c r="B38" s="13">
        <v>0</v>
      </c>
      <c r="C38" s="13">
        <f t="shared" ref="C38" si="11">-B38-D38-E38</f>
        <v>0</v>
      </c>
      <c r="D38" s="13">
        <v>0</v>
      </c>
      <c r="E38" s="13">
        <v>0</v>
      </c>
      <c r="F38" s="12">
        <f t="shared" si="10"/>
        <v>0</v>
      </c>
      <c r="G38" s="6" t="s">
        <v>64</v>
      </c>
    </row>
    <row r="39" spans="1:10" x14ac:dyDescent="0.2">
      <c r="B39" s="13">
        <v>0</v>
      </c>
      <c r="C39" s="13"/>
      <c r="D39" s="13">
        <v>0</v>
      </c>
      <c r="E39" s="13">
        <v>0</v>
      </c>
      <c r="F39" s="12">
        <f t="shared" si="0"/>
        <v>0</v>
      </c>
      <c r="G39" s="6" t="s">
        <v>65</v>
      </c>
    </row>
    <row r="40" spans="1:10" ht="13.5" thickBot="1" x14ac:dyDescent="0.25">
      <c r="A40" t="s">
        <v>10</v>
      </c>
      <c r="B40" s="19">
        <f>SUM(B8:B39)</f>
        <v>152480.67400000006</v>
      </c>
      <c r="C40" s="19">
        <f>SUM(C8:C39)</f>
        <v>408388.27600000007</v>
      </c>
      <c r="D40" s="19">
        <f>SUM(D8:D39)</f>
        <v>0</v>
      </c>
      <c r="E40" s="19">
        <f>SUM(E8:E39)</f>
        <v>49742.81</v>
      </c>
      <c r="F40" s="19">
        <f>SUM(F8:F39)</f>
        <v>610611.76000000013</v>
      </c>
      <c r="G40" s="6"/>
    </row>
    <row r="41" spans="1:10" ht="13.5" thickTop="1" x14ac:dyDescent="0.2">
      <c r="A41" t="s">
        <v>18</v>
      </c>
      <c r="B41" s="25">
        <f>B40/F40</f>
        <v>0.24971787965564243</v>
      </c>
      <c r="C41" s="25">
        <f>C40/F40</f>
        <v>0.66881822911501077</v>
      </c>
      <c r="D41" s="25">
        <f>D40/F40</f>
        <v>0</v>
      </c>
      <c r="E41" s="25">
        <f>E40/F40</f>
        <v>8.146389122934676E-2</v>
      </c>
      <c r="F41" s="20"/>
    </row>
    <row r="42" spans="1:10" x14ac:dyDescent="0.2">
      <c r="B42" s="5"/>
      <c r="F42" s="5"/>
    </row>
    <row r="43" spans="1:10" ht="30" customHeight="1" x14ac:dyDescent="0.2">
      <c r="A43" s="28" t="s">
        <v>32</v>
      </c>
      <c r="B43" s="28"/>
      <c r="C43" s="28"/>
      <c r="D43" s="28"/>
      <c r="E43" s="28"/>
      <c r="F43" s="15">
        <f>2985108.48-F44-F45</f>
        <v>2857939.1239999998</v>
      </c>
      <c r="J43" s="11"/>
    </row>
    <row r="44" spans="1:10" ht="40.5" customHeight="1" x14ac:dyDescent="0.2">
      <c r="A44" s="28" t="s">
        <v>31</v>
      </c>
      <c r="B44" s="28"/>
      <c r="C44" s="28"/>
      <c r="D44" s="28"/>
      <c r="E44" s="28"/>
      <c r="F44" s="17">
        <f>C5-B40-214825.97</f>
        <v>127169.35599999994</v>
      </c>
      <c r="G44" s="21" t="s">
        <v>66</v>
      </c>
    </row>
    <row r="45" spans="1:10" ht="23.25" customHeight="1" x14ac:dyDescent="0.2">
      <c r="A45" s="9" t="s">
        <v>25</v>
      </c>
      <c r="C45" s="11"/>
      <c r="D45" s="11"/>
      <c r="E45" s="11"/>
      <c r="F45" s="17">
        <f>-D40</f>
        <v>0</v>
      </c>
      <c r="I45" s="24"/>
    </row>
    <row r="46" spans="1:10" ht="27.75" customHeight="1" thickBot="1" x14ac:dyDescent="0.25">
      <c r="A46" s="9" t="s">
        <v>23</v>
      </c>
      <c r="C46" s="11"/>
      <c r="D46" s="16"/>
      <c r="E46" s="16"/>
      <c r="F46" s="18">
        <f>SUM(F43:F45)</f>
        <v>2985108.48</v>
      </c>
      <c r="I46" s="24"/>
    </row>
    <row r="47" spans="1:10" ht="13.5" thickTop="1" x14ac:dyDescent="0.2">
      <c r="A47" s="9"/>
    </row>
    <row r="48" spans="1:10" x14ac:dyDescent="0.2">
      <c r="A48" t="s">
        <v>48</v>
      </c>
      <c r="B48" s="10"/>
    </row>
    <row r="49" spans="1:1" x14ac:dyDescent="0.2">
      <c r="A49" s="23"/>
    </row>
  </sheetData>
  <mergeCells count="4">
    <mergeCell ref="A1:G1"/>
    <mergeCell ref="B2:F2"/>
    <mergeCell ref="A43:E43"/>
    <mergeCell ref="A44:E44"/>
  </mergeCells>
  <pageMargins left="0.39" right="0.27" top="0.56000000000000005" bottom="0.17" header="0.3" footer="0.3"/>
  <pageSetup scale="7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68989B-F022-473C-AFFA-BBE3DDCDD1B4}">
  <sheetPr>
    <pageSetUpPr fitToPage="1"/>
  </sheetPr>
  <dimension ref="A1:J56"/>
  <sheetViews>
    <sheetView tabSelected="1" topLeftCell="A25" workbookViewId="0">
      <selection activeCell="G52" sqref="G52"/>
    </sheetView>
  </sheetViews>
  <sheetFormatPr defaultRowHeight="12.75" x14ac:dyDescent="0.2"/>
  <cols>
    <col min="1" max="1" width="20" customWidth="1"/>
    <col min="2" max="2" width="16.7109375" customWidth="1"/>
    <col min="3" max="3" width="13.7109375" bestFit="1" customWidth="1"/>
    <col min="4" max="4" width="13.7109375" customWidth="1"/>
    <col min="5" max="5" width="14.7109375" customWidth="1"/>
    <col min="6" max="6" width="15.28515625" customWidth="1"/>
    <col min="7" max="7" width="66.140625" customWidth="1"/>
    <col min="9" max="9" width="11.28515625" bestFit="1" customWidth="1"/>
    <col min="10" max="10" width="11.85546875" bestFit="1" customWidth="1"/>
  </cols>
  <sheetData>
    <row r="1" spans="1:10" ht="18" x14ac:dyDescent="0.25">
      <c r="A1" s="26" t="s">
        <v>50</v>
      </c>
      <c r="B1" s="26"/>
      <c r="C1" s="26"/>
      <c r="D1" s="26"/>
      <c r="E1" s="26"/>
      <c r="F1" s="26"/>
      <c r="G1" s="26"/>
    </row>
    <row r="2" spans="1:10" ht="18" x14ac:dyDescent="0.25">
      <c r="B2" s="27" t="s">
        <v>67</v>
      </c>
      <c r="C2" s="27"/>
      <c r="D2" s="27"/>
      <c r="E2" s="27"/>
      <c r="F2" s="27"/>
    </row>
    <row r="4" spans="1:10" ht="63.75" x14ac:dyDescent="0.25">
      <c r="A4" s="1" t="s">
        <v>1</v>
      </c>
      <c r="B4" s="4" t="s">
        <v>13</v>
      </c>
      <c r="C4" s="4" t="s">
        <v>21</v>
      </c>
      <c r="D4" s="4" t="s">
        <v>33</v>
      </c>
      <c r="E4" s="4" t="s">
        <v>0</v>
      </c>
      <c r="G4" s="22"/>
    </row>
    <row r="5" spans="1:10" x14ac:dyDescent="0.2">
      <c r="A5" s="2"/>
      <c r="B5" s="14">
        <v>1771504.6399999999</v>
      </c>
      <c r="C5" s="8">
        <f>741714</f>
        <v>741714</v>
      </c>
      <c r="D5" s="8">
        <v>0</v>
      </c>
      <c r="E5" s="8">
        <f>B5-C5-D5</f>
        <v>1029790.6399999999</v>
      </c>
      <c r="F5" s="20"/>
      <c r="G5" s="3"/>
    </row>
    <row r="6" spans="1:10" x14ac:dyDescent="0.2">
      <c r="A6" s="2"/>
    </row>
    <row r="7" spans="1:10" ht="54" x14ac:dyDescent="0.25">
      <c r="A7" s="1" t="s">
        <v>12</v>
      </c>
      <c r="B7" s="3" t="s">
        <v>2</v>
      </c>
      <c r="C7" s="3" t="s">
        <v>3</v>
      </c>
      <c r="D7" s="3" t="s">
        <v>20</v>
      </c>
      <c r="E7" s="3" t="s">
        <v>11</v>
      </c>
      <c r="F7" s="3" t="s">
        <v>4</v>
      </c>
      <c r="G7" s="3" t="s">
        <v>5</v>
      </c>
    </row>
    <row r="8" spans="1:10" ht="25.5" x14ac:dyDescent="0.2">
      <c r="A8" t="s">
        <v>17</v>
      </c>
      <c r="B8" s="13">
        <f>421684.85*0.2</f>
        <v>84336.97</v>
      </c>
      <c r="C8" s="13">
        <f>421684.85-B8-D8-E8</f>
        <v>337347.88</v>
      </c>
      <c r="D8" s="13">
        <v>0</v>
      </c>
      <c r="E8" s="12">
        <v>0</v>
      </c>
      <c r="F8" s="12">
        <f>SUM(B8:E8)</f>
        <v>421684.85</v>
      </c>
      <c r="G8" s="7" t="s">
        <v>27</v>
      </c>
    </row>
    <row r="9" spans="1:10" x14ac:dyDescent="0.2">
      <c r="B9" s="13">
        <v>0</v>
      </c>
      <c r="C9" s="13">
        <v>152.07</v>
      </c>
      <c r="D9" s="13">
        <v>0</v>
      </c>
      <c r="E9" s="12">
        <v>0</v>
      </c>
      <c r="F9" s="12">
        <f t="shared" ref="F9:F46" si="0">SUM(B9:E9)</f>
        <v>152.07</v>
      </c>
      <c r="G9" s="6" t="s">
        <v>7</v>
      </c>
    </row>
    <row r="10" spans="1:10" x14ac:dyDescent="0.2">
      <c r="B10" s="13">
        <v>0</v>
      </c>
      <c r="C10" s="13">
        <v>15830.92</v>
      </c>
      <c r="D10" s="13">
        <v>0</v>
      </c>
      <c r="E10" s="12">
        <v>0</v>
      </c>
      <c r="F10" s="12">
        <f t="shared" si="0"/>
        <v>15830.92</v>
      </c>
      <c r="G10" s="6" t="s">
        <v>8</v>
      </c>
    </row>
    <row r="11" spans="1:10" x14ac:dyDescent="0.2">
      <c r="B11" s="13">
        <v>0</v>
      </c>
      <c r="C11" s="13">
        <v>359.09</v>
      </c>
      <c r="D11" s="13">
        <v>0</v>
      </c>
      <c r="E11" s="12">
        <v>0</v>
      </c>
      <c r="F11" s="12">
        <f t="shared" si="0"/>
        <v>359.09</v>
      </c>
      <c r="G11" s="6" t="s">
        <v>6</v>
      </c>
    </row>
    <row r="12" spans="1:10" x14ac:dyDescent="0.2">
      <c r="B12" s="13">
        <f>12106.95*0.2</f>
        <v>2421.3900000000003</v>
      </c>
      <c r="C12" s="13">
        <f>12106.95-B12-D12-E12</f>
        <v>9685.5600000000013</v>
      </c>
      <c r="D12" s="13">
        <v>0</v>
      </c>
      <c r="E12" s="12">
        <v>0</v>
      </c>
      <c r="F12" s="12">
        <f t="shared" si="0"/>
        <v>12106.95</v>
      </c>
      <c r="G12" s="6" t="s">
        <v>36</v>
      </c>
    </row>
    <row r="13" spans="1:10" x14ac:dyDescent="0.2">
      <c r="B13" s="13">
        <v>0</v>
      </c>
      <c r="C13" s="13">
        <v>14644.05</v>
      </c>
      <c r="D13" s="13">
        <v>0</v>
      </c>
      <c r="E13" s="12">
        <v>0</v>
      </c>
      <c r="F13" s="12">
        <f t="shared" si="0"/>
        <v>14644.05</v>
      </c>
      <c r="G13" s="6" t="s">
        <v>9</v>
      </c>
    </row>
    <row r="14" spans="1:10" x14ac:dyDescent="0.2">
      <c r="B14" s="13">
        <f>486918.96*0.2</f>
        <v>97383.792000000016</v>
      </c>
      <c r="C14" s="13">
        <f>486918.96-B14-D14-E14</f>
        <v>389535.16800000001</v>
      </c>
      <c r="D14" s="13">
        <v>0</v>
      </c>
      <c r="E14" s="12">
        <v>0</v>
      </c>
      <c r="F14" s="12">
        <f t="shared" si="0"/>
        <v>486918.96</v>
      </c>
      <c r="G14" s="7" t="s">
        <v>28</v>
      </c>
    </row>
    <row r="15" spans="1:10" x14ac:dyDescent="0.2">
      <c r="A15" t="s">
        <v>16</v>
      </c>
      <c r="B15" s="13">
        <v>0</v>
      </c>
      <c r="C15" s="13">
        <f t="shared" ref="C15:C20" si="1">-B15-D15-E15</f>
        <v>0</v>
      </c>
      <c r="D15" s="13">
        <v>0</v>
      </c>
      <c r="E15" s="12">
        <v>0</v>
      </c>
      <c r="F15" s="12">
        <f t="shared" si="0"/>
        <v>0</v>
      </c>
      <c r="G15" s="6" t="s">
        <v>24</v>
      </c>
    </row>
    <row r="16" spans="1:10" ht="26.25" customHeight="1" x14ac:dyDescent="0.2">
      <c r="A16" t="s">
        <v>15</v>
      </c>
      <c r="B16" s="13">
        <f>68924.35+3195.25</f>
        <v>72119.600000000006</v>
      </c>
      <c r="C16" s="13">
        <f>68924.35+3195.25-B16-D16-E16</f>
        <v>0</v>
      </c>
      <c r="D16" s="13">
        <v>0</v>
      </c>
      <c r="E16" s="12">
        <v>0</v>
      </c>
      <c r="F16" s="12">
        <f t="shared" si="0"/>
        <v>72119.600000000006</v>
      </c>
      <c r="G16" s="7" t="s">
        <v>19</v>
      </c>
      <c r="J16" s="11"/>
    </row>
    <row r="17" spans="1:9" x14ac:dyDescent="0.2">
      <c r="A17" t="s">
        <v>14</v>
      </c>
      <c r="B17" s="13">
        <v>0</v>
      </c>
      <c r="C17" s="13">
        <v>22331.79</v>
      </c>
      <c r="D17" s="13">
        <v>0</v>
      </c>
      <c r="E17" s="13">
        <v>0</v>
      </c>
      <c r="F17" s="12">
        <f>SUM(B17:E17)</f>
        <v>22331.79</v>
      </c>
      <c r="G17" s="6" t="s">
        <v>68</v>
      </c>
    </row>
    <row r="18" spans="1:9" x14ac:dyDescent="0.2">
      <c r="B18" s="13">
        <v>-6354.34</v>
      </c>
      <c r="C18" s="13">
        <v>0</v>
      </c>
      <c r="D18" s="13">
        <v>0</v>
      </c>
      <c r="E18" s="13">
        <v>6354.34</v>
      </c>
      <c r="F18" s="12">
        <f t="shared" si="0"/>
        <v>0</v>
      </c>
      <c r="G18" s="6" t="s">
        <v>26</v>
      </c>
      <c r="I18" s="11"/>
    </row>
    <row r="19" spans="1:9" x14ac:dyDescent="0.2">
      <c r="B19" s="13">
        <v>-19199.3</v>
      </c>
      <c r="C19" s="13">
        <v>0</v>
      </c>
      <c r="D19" s="13">
        <v>0</v>
      </c>
      <c r="E19" s="13">
        <v>19199.3</v>
      </c>
      <c r="F19" s="12">
        <f t="shared" si="0"/>
        <v>0</v>
      </c>
      <c r="G19" s="6" t="s">
        <v>34</v>
      </c>
    </row>
    <row r="20" spans="1:9" x14ac:dyDescent="0.2">
      <c r="B20" s="13">
        <v>0</v>
      </c>
      <c r="C20" s="13">
        <f t="shared" si="1"/>
        <v>0</v>
      </c>
      <c r="D20" s="13">
        <v>0</v>
      </c>
      <c r="E20" s="13">
        <v>0</v>
      </c>
      <c r="F20" s="12">
        <f t="shared" si="0"/>
        <v>0</v>
      </c>
      <c r="G20" s="6" t="s">
        <v>52</v>
      </c>
    </row>
    <row r="21" spans="1:9" x14ac:dyDescent="0.2">
      <c r="B21" s="13">
        <v>0</v>
      </c>
      <c r="C21" s="13">
        <v>21717.31</v>
      </c>
      <c r="D21" s="13">
        <v>0</v>
      </c>
      <c r="E21" s="13">
        <v>0</v>
      </c>
      <c r="F21" s="12">
        <f t="shared" ref="F21:F40" si="2">SUM(B21:E21)</f>
        <v>21717.31</v>
      </c>
      <c r="G21" s="6" t="s">
        <v>46</v>
      </c>
    </row>
    <row r="22" spans="1:9" x14ac:dyDescent="0.2">
      <c r="B22" s="13">
        <v>15232.92</v>
      </c>
      <c r="C22" s="13">
        <f>15232.92-B22-D22-E22</f>
        <v>0</v>
      </c>
      <c r="D22" s="13">
        <v>0</v>
      </c>
      <c r="E22" s="13">
        <v>0</v>
      </c>
      <c r="F22" s="12">
        <f t="shared" si="2"/>
        <v>15232.92</v>
      </c>
      <c r="G22" s="6" t="s">
        <v>53</v>
      </c>
    </row>
    <row r="23" spans="1:9" x14ac:dyDescent="0.2">
      <c r="B23" s="13">
        <v>1065.58</v>
      </c>
      <c r="C23" s="13">
        <f>1065.58-B23-D23-E23</f>
        <v>0</v>
      </c>
      <c r="D23" s="13">
        <v>0</v>
      </c>
      <c r="E23" s="13">
        <v>0</v>
      </c>
      <c r="F23" s="12">
        <f t="shared" ref="F23" si="3">SUM(B23:E23)</f>
        <v>1065.58</v>
      </c>
      <c r="G23" s="6" t="s">
        <v>54</v>
      </c>
    </row>
    <row r="24" spans="1:9" x14ac:dyDescent="0.2">
      <c r="B24" s="13">
        <v>0</v>
      </c>
      <c r="C24" s="13">
        <f>-B24-D24-E24</f>
        <v>0</v>
      </c>
      <c r="D24" s="13">
        <v>0</v>
      </c>
      <c r="E24" s="13">
        <v>0</v>
      </c>
      <c r="F24" s="12">
        <f t="shared" ref="F24" si="4">SUM(B24:E24)</f>
        <v>0</v>
      </c>
      <c r="G24" s="6" t="s">
        <v>55</v>
      </c>
    </row>
    <row r="25" spans="1:9" x14ac:dyDescent="0.2">
      <c r="B25" s="13">
        <v>17136.95</v>
      </c>
      <c r="C25" s="13">
        <f>20687.45-B25-D25-E25</f>
        <v>0</v>
      </c>
      <c r="D25" s="13">
        <v>0</v>
      </c>
      <c r="E25" s="13">
        <v>3550.5</v>
      </c>
      <c r="F25" s="12">
        <f t="shared" ref="F25:F27" si="5">SUM(B25:E25)</f>
        <v>20687.45</v>
      </c>
      <c r="G25" s="6" t="s">
        <v>69</v>
      </c>
    </row>
    <row r="26" spans="1:9" x14ac:dyDescent="0.2">
      <c r="B26" s="13">
        <v>0</v>
      </c>
      <c r="C26" s="13">
        <f>26557.75-B26-D26-E26</f>
        <v>0</v>
      </c>
      <c r="D26" s="13">
        <v>0</v>
      </c>
      <c r="E26" s="13">
        <v>26557.75</v>
      </c>
      <c r="F26" s="12">
        <f t="shared" si="5"/>
        <v>26557.75</v>
      </c>
      <c r="G26" s="6" t="s">
        <v>78</v>
      </c>
    </row>
    <row r="27" spans="1:9" x14ac:dyDescent="0.2">
      <c r="B27" s="13">
        <v>0</v>
      </c>
      <c r="C27" s="13">
        <v>0</v>
      </c>
      <c r="D27" s="13">
        <v>475000</v>
      </c>
      <c r="E27" s="13">
        <v>0</v>
      </c>
      <c r="F27" s="12">
        <f t="shared" si="5"/>
        <v>475000</v>
      </c>
      <c r="G27" s="6" t="s">
        <v>70</v>
      </c>
    </row>
    <row r="28" spans="1:9" x14ac:dyDescent="0.2">
      <c r="B28" s="13">
        <v>0</v>
      </c>
      <c r="C28" s="13">
        <f>0-B28-D28-E28</f>
        <v>0</v>
      </c>
      <c r="D28" s="13">
        <v>0</v>
      </c>
      <c r="E28" s="13">
        <v>0</v>
      </c>
      <c r="F28" s="12">
        <f t="shared" si="2"/>
        <v>0</v>
      </c>
      <c r="G28" s="6" t="s">
        <v>22</v>
      </c>
    </row>
    <row r="29" spans="1:9" x14ac:dyDescent="0.2">
      <c r="B29" s="13">
        <v>0</v>
      </c>
      <c r="C29" s="13">
        <v>35637.730000000003</v>
      </c>
      <c r="D29" s="13">
        <v>0</v>
      </c>
      <c r="E29" s="13">
        <v>0</v>
      </c>
      <c r="F29" s="12">
        <f t="shared" si="2"/>
        <v>35637.730000000003</v>
      </c>
      <c r="G29" s="6" t="s">
        <v>39</v>
      </c>
    </row>
    <row r="30" spans="1:9" x14ac:dyDescent="0.2">
      <c r="B30" s="13">
        <f>0-E30</f>
        <v>0</v>
      </c>
      <c r="C30" s="13">
        <v>0</v>
      </c>
      <c r="D30" s="13">
        <v>0</v>
      </c>
      <c r="E30" s="13">
        <v>0</v>
      </c>
      <c r="F30" s="12">
        <f t="shared" si="2"/>
        <v>0</v>
      </c>
      <c r="G30" s="6" t="s">
        <v>29</v>
      </c>
    </row>
    <row r="31" spans="1:9" x14ac:dyDescent="0.2">
      <c r="B31" s="13">
        <v>0</v>
      </c>
      <c r="C31" s="13">
        <f t="shared" ref="C31:C32" si="6">-B31-D31-E31</f>
        <v>0</v>
      </c>
      <c r="D31" s="13">
        <v>0</v>
      </c>
      <c r="E31" s="13">
        <v>0</v>
      </c>
      <c r="F31" s="12">
        <f t="shared" si="2"/>
        <v>0</v>
      </c>
      <c r="G31" s="6" t="s">
        <v>56</v>
      </c>
    </row>
    <row r="32" spans="1:9" x14ac:dyDescent="0.2">
      <c r="B32" s="13">
        <v>0</v>
      </c>
      <c r="C32" s="13">
        <f t="shared" si="6"/>
        <v>0</v>
      </c>
      <c r="D32" s="13">
        <v>0</v>
      </c>
      <c r="E32" s="13">
        <v>0</v>
      </c>
      <c r="F32" s="12">
        <f t="shared" ref="F32" si="7">SUM(B32:E32)</f>
        <v>0</v>
      </c>
      <c r="G32" s="6" t="s">
        <v>58</v>
      </c>
    </row>
    <row r="33" spans="1:7" x14ac:dyDescent="0.2">
      <c r="B33" s="13">
        <v>0</v>
      </c>
      <c r="C33" s="13">
        <v>2180.0300000000002</v>
      </c>
      <c r="D33" s="13">
        <v>0</v>
      </c>
      <c r="E33" s="13">
        <v>0</v>
      </c>
      <c r="F33" s="12">
        <f t="shared" si="2"/>
        <v>2180.0300000000002</v>
      </c>
      <c r="G33" s="6" t="s">
        <v>41</v>
      </c>
    </row>
    <row r="34" spans="1:7" x14ac:dyDescent="0.2">
      <c r="B34" s="13">
        <v>74961.759999999995</v>
      </c>
      <c r="C34" s="13">
        <f>182345.54-B34-D34-E34</f>
        <v>0</v>
      </c>
      <c r="D34" s="13">
        <v>0</v>
      </c>
      <c r="E34" s="13">
        <v>107383.78</v>
      </c>
      <c r="F34" s="12">
        <f t="shared" si="2"/>
        <v>182345.53999999998</v>
      </c>
      <c r="G34" s="6" t="s">
        <v>59</v>
      </c>
    </row>
    <row r="35" spans="1:7" x14ac:dyDescent="0.2">
      <c r="B35" s="13">
        <v>0</v>
      </c>
      <c r="C35" s="13">
        <v>1270.92</v>
      </c>
      <c r="D35" s="13">
        <v>0</v>
      </c>
      <c r="E35" s="13">
        <v>0</v>
      </c>
      <c r="F35" s="12">
        <f t="shared" si="2"/>
        <v>1270.92</v>
      </c>
      <c r="G35" s="6" t="s">
        <v>60</v>
      </c>
    </row>
    <row r="36" spans="1:7" x14ac:dyDescent="0.2">
      <c r="B36" s="13">
        <v>137306.87</v>
      </c>
      <c r="C36" s="13">
        <f>1137242.41-B36-D36-E36</f>
        <v>0</v>
      </c>
      <c r="D36" s="13">
        <v>0</v>
      </c>
      <c r="E36" s="13">
        <v>999935.54</v>
      </c>
      <c r="F36" s="12">
        <f t="shared" si="2"/>
        <v>1137242.4100000001</v>
      </c>
      <c r="G36" s="6" t="s">
        <v>61</v>
      </c>
    </row>
    <row r="37" spans="1:7" x14ac:dyDescent="0.2">
      <c r="B37" s="13">
        <v>0</v>
      </c>
      <c r="C37" s="13">
        <f t="shared" ref="C37:C38" si="8">-B37-D37-E37</f>
        <v>0</v>
      </c>
      <c r="D37" s="13">
        <v>0</v>
      </c>
      <c r="E37" s="13">
        <v>0</v>
      </c>
      <c r="F37" s="12">
        <f t="shared" ref="F37:F38" si="9">SUM(B37:E37)</f>
        <v>0</v>
      </c>
      <c r="G37" s="6" t="s">
        <v>76</v>
      </c>
    </row>
    <row r="38" spans="1:7" x14ac:dyDescent="0.2">
      <c r="B38" s="13">
        <v>0</v>
      </c>
      <c r="C38" s="13">
        <f t="shared" si="8"/>
        <v>0</v>
      </c>
      <c r="D38" s="13">
        <v>0</v>
      </c>
      <c r="E38" s="13">
        <v>0</v>
      </c>
      <c r="F38" s="12">
        <f t="shared" si="9"/>
        <v>0</v>
      </c>
      <c r="G38" s="6" t="s">
        <v>77</v>
      </c>
    </row>
    <row r="39" spans="1:7" x14ac:dyDescent="0.2">
      <c r="B39" s="13">
        <v>0</v>
      </c>
      <c r="C39" s="13">
        <f t="shared" ref="C39:C40" si="10">-B39-D39-E39</f>
        <v>0</v>
      </c>
      <c r="D39" s="13">
        <v>0</v>
      </c>
      <c r="E39" s="13">
        <v>0</v>
      </c>
      <c r="F39" s="12">
        <f t="shared" si="2"/>
        <v>0</v>
      </c>
      <c r="G39" s="6" t="s">
        <v>62</v>
      </c>
    </row>
    <row r="40" spans="1:7" x14ac:dyDescent="0.2">
      <c r="B40" s="13">
        <v>0</v>
      </c>
      <c r="C40" s="13">
        <f t="shared" si="10"/>
        <v>0</v>
      </c>
      <c r="D40" s="13">
        <v>0</v>
      </c>
      <c r="E40" s="13">
        <v>0</v>
      </c>
      <c r="F40" s="12">
        <f t="shared" si="2"/>
        <v>0</v>
      </c>
      <c r="G40" s="6" t="s">
        <v>63</v>
      </c>
    </row>
    <row r="41" spans="1:7" x14ac:dyDescent="0.2">
      <c r="B41" s="13">
        <v>0</v>
      </c>
      <c r="C41" s="13">
        <v>0</v>
      </c>
      <c r="D41" s="13">
        <v>0</v>
      </c>
      <c r="E41" s="13">
        <v>0</v>
      </c>
      <c r="F41" s="12">
        <f t="shared" ref="F41:F44" si="11">SUM(B41:E41)</f>
        <v>0</v>
      </c>
      <c r="G41" s="6" t="s">
        <v>30</v>
      </c>
    </row>
    <row r="42" spans="1:7" x14ac:dyDescent="0.2">
      <c r="B42" s="13">
        <v>50475.839999999997</v>
      </c>
      <c r="C42" s="13">
        <f>125014.09-B42-D42-E42</f>
        <v>74538.25</v>
      </c>
      <c r="D42" s="13">
        <v>0</v>
      </c>
      <c r="E42" s="13">
        <v>0</v>
      </c>
      <c r="F42" s="12">
        <f t="shared" ref="F42" si="12">SUM(B42:E42)</f>
        <v>125014.09</v>
      </c>
      <c r="G42" s="6" t="s">
        <v>72</v>
      </c>
    </row>
    <row r="43" spans="1:7" x14ac:dyDescent="0.2">
      <c r="B43" s="13">
        <v>0</v>
      </c>
      <c r="C43" s="13">
        <v>0</v>
      </c>
      <c r="D43" s="13">
        <v>0</v>
      </c>
      <c r="E43" s="13">
        <v>0</v>
      </c>
      <c r="F43" s="12">
        <f t="shared" ref="F43" si="13">SUM(B43:E43)</f>
        <v>0</v>
      </c>
      <c r="G43" s="6" t="s">
        <v>65</v>
      </c>
    </row>
    <row r="44" spans="1:7" x14ac:dyDescent="0.2">
      <c r="B44" s="13">
        <v>0</v>
      </c>
      <c r="C44" s="13">
        <v>17138.32</v>
      </c>
      <c r="D44" s="13">
        <v>0</v>
      </c>
      <c r="E44" s="13">
        <v>0</v>
      </c>
      <c r="F44" s="12">
        <f t="shared" si="11"/>
        <v>17138.32</v>
      </c>
      <c r="G44" s="6" t="s">
        <v>73</v>
      </c>
    </row>
    <row r="45" spans="1:7" x14ac:dyDescent="0.2">
      <c r="B45" s="13">
        <v>0</v>
      </c>
      <c r="C45" s="13">
        <f t="shared" ref="C45" si="14">-B45-D45-E45</f>
        <v>0</v>
      </c>
      <c r="D45" s="13">
        <v>0</v>
      </c>
      <c r="E45" s="13">
        <v>0</v>
      </c>
      <c r="F45" s="12">
        <f t="shared" ref="F45" si="15">SUM(B45:E45)</f>
        <v>0</v>
      </c>
      <c r="G45" s="6" t="s">
        <v>74</v>
      </c>
    </row>
    <row r="46" spans="1:7" x14ac:dyDescent="0.2">
      <c r="B46" s="13">
        <v>0</v>
      </c>
      <c r="C46" s="13">
        <v>250</v>
      </c>
      <c r="D46" s="13">
        <v>0</v>
      </c>
      <c r="E46" s="13">
        <v>0</v>
      </c>
      <c r="F46" s="12">
        <f t="shared" si="0"/>
        <v>250</v>
      </c>
      <c r="G46" s="6" t="s">
        <v>75</v>
      </c>
    </row>
    <row r="47" spans="1:7" ht="13.5" thickBot="1" x14ac:dyDescent="0.25">
      <c r="A47" t="s">
        <v>10</v>
      </c>
      <c r="B47" s="19">
        <f>SUM(B8:B46)</f>
        <v>526888.03200000001</v>
      </c>
      <c r="C47" s="19">
        <f>SUM(C8:C46)</f>
        <v>942619.08800000011</v>
      </c>
      <c r="D47" s="19">
        <f>SUM(D8:D46)</f>
        <v>475000</v>
      </c>
      <c r="E47" s="19">
        <f>SUM(E8:E46)</f>
        <v>1162981.21</v>
      </c>
      <c r="F47" s="19">
        <f>SUM(F8:F46)</f>
        <v>3107488.3299999996</v>
      </c>
      <c r="G47" s="6"/>
    </row>
    <row r="48" spans="1:7" ht="13.5" thickTop="1" x14ac:dyDescent="0.2">
      <c r="A48" t="s">
        <v>18</v>
      </c>
      <c r="B48" s="25">
        <f>B47/F47</f>
        <v>0.16955430754586295</v>
      </c>
      <c r="C48" s="25">
        <f>C47/F47</f>
        <v>0.303337933372062</v>
      </c>
      <c r="D48" s="25">
        <f>D47/F47</f>
        <v>0.15285656760616059</v>
      </c>
      <c r="E48" s="25">
        <f>E47/F47</f>
        <v>0.37425119147591462</v>
      </c>
      <c r="F48" s="20"/>
    </row>
    <row r="49" spans="1:10" x14ac:dyDescent="0.2">
      <c r="B49" s="5"/>
      <c r="F49" s="5"/>
    </row>
    <row r="50" spans="1:10" ht="30" customHeight="1" x14ac:dyDescent="0.2">
      <c r="A50" s="28" t="s">
        <v>81</v>
      </c>
      <c r="B50" s="28"/>
      <c r="C50" s="28"/>
      <c r="D50" s="28"/>
      <c r="E50" s="28"/>
      <c r="F50" s="15">
        <f>3123454.35-F51-F52</f>
        <v>3123454.3459999999</v>
      </c>
      <c r="J50" s="11"/>
    </row>
    <row r="51" spans="1:10" ht="40.5" customHeight="1" x14ac:dyDescent="0.2">
      <c r="A51" s="28" t="s">
        <v>31</v>
      </c>
      <c r="B51" s="28"/>
      <c r="C51" s="28"/>
      <c r="D51" s="28"/>
      <c r="E51" s="28"/>
      <c r="F51" s="17">
        <f>C5-B47-214825.97+0.006</f>
        <v>3.9999999923165889E-3</v>
      </c>
      <c r="G51" s="21" t="s">
        <v>71</v>
      </c>
    </row>
    <row r="52" spans="1:10" ht="23.25" customHeight="1" x14ac:dyDescent="0.2">
      <c r="A52" s="9" t="s">
        <v>79</v>
      </c>
      <c r="C52" s="11"/>
      <c r="D52" s="11"/>
      <c r="E52" s="11"/>
      <c r="F52" s="17">
        <v>0</v>
      </c>
      <c r="I52" s="24"/>
    </row>
    <row r="53" spans="1:10" ht="27.75" customHeight="1" thickBot="1" x14ac:dyDescent="0.25">
      <c r="A53" s="9" t="s">
        <v>80</v>
      </c>
      <c r="C53" s="11"/>
      <c r="D53" s="16"/>
      <c r="E53" s="16"/>
      <c r="F53" s="18">
        <f>SUM(F50:F52)</f>
        <v>3123454.35</v>
      </c>
      <c r="I53" s="24"/>
    </row>
    <row r="54" spans="1:10" ht="13.5" thickTop="1" x14ac:dyDescent="0.2">
      <c r="A54" s="9"/>
    </row>
    <row r="55" spans="1:10" x14ac:dyDescent="0.2">
      <c r="A55" t="s">
        <v>48</v>
      </c>
      <c r="B55" s="10"/>
    </row>
    <row r="56" spans="1:10" x14ac:dyDescent="0.2">
      <c r="A56" s="23"/>
    </row>
  </sheetData>
  <mergeCells count="4">
    <mergeCell ref="A1:G1"/>
    <mergeCell ref="B2:F2"/>
    <mergeCell ref="A50:E50"/>
    <mergeCell ref="A51:E51"/>
  </mergeCells>
  <pageMargins left="0.39" right="0.27" top="0.56000000000000005" bottom="0.17" header="0.3" footer="0.3"/>
  <pageSetup scale="63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20F96E-E1AE-47E0-834D-CA6B75D038B2}">
  <sheetPr>
    <pageSetUpPr fitToPage="1"/>
  </sheetPr>
  <dimension ref="A1:J41"/>
  <sheetViews>
    <sheetView topLeftCell="A10" workbookViewId="0">
      <selection activeCell="G37" sqref="G37"/>
    </sheetView>
  </sheetViews>
  <sheetFormatPr defaultRowHeight="12.75" x14ac:dyDescent="0.2"/>
  <cols>
    <col min="1" max="1" width="20" customWidth="1"/>
    <col min="2" max="2" width="16.7109375" customWidth="1"/>
    <col min="3" max="3" width="13.7109375" bestFit="1" customWidth="1"/>
    <col min="4" max="4" width="13.7109375" customWidth="1"/>
    <col min="5" max="5" width="14.7109375" customWidth="1"/>
    <col min="6" max="6" width="15.28515625" customWidth="1"/>
    <col min="7" max="7" width="66.140625" customWidth="1"/>
    <col min="9" max="9" width="11.28515625" bestFit="1" customWidth="1"/>
    <col min="10" max="10" width="11.85546875" bestFit="1" customWidth="1"/>
  </cols>
  <sheetData>
    <row r="1" spans="1:10" ht="18" x14ac:dyDescent="0.25">
      <c r="A1" s="26" t="s">
        <v>35</v>
      </c>
      <c r="B1" s="26"/>
      <c r="C1" s="26"/>
      <c r="D1" s="26"/>
      <c r="E1" s="26"/>
      <c r="F1" s="26"/>
      <c r="G1" s="26"/>
    </row>
    <row r="2" spans="1:10" ht="18" x14ac:dyDescent="0.25">
      <c r="B2" s="27" t="s">
        <v>43</v>
      </c>
      <c r="C2" s="27"/>
      <c r="D2" s="27"/>
      <c r="E2" s="27"/>
      <c r="F2" s="27"/>
    </row>
    <row r="4" spans="1:10" ht="63.75" x14ac:dyDescent="0.25">
      <c r="A4" s="1" t="s">
        <v>1</v>
      </c>
      <c r="B4" s="4" t="s">
        <v>13</v>
      </c>
      <c r="C4" s="4" t="s">
        <v>21</v>
      </c>
      <c r="D4" s="4" t="s">
        <v>33</v>
      </c>
      <c r="E4" s="4" t="s">
        <v>0</v>
      </c>
      <c r="G4" s="22"/>
    </row>
    <row r="5" spans="1:10" x14ac:dyDescent="0.2">
      <c r="A5" s="2"/>
      <c r="B5" s="14">
        <v>1691953.51</v>
      </c>
      <c r="C5" s="8">
        <v>645964</v>
      </c>
      <c r="D5" s="8">
        <v>0</v>
      </c>
      <c r="E5" s="8">
        <f>B5-C5-D5</f>
        <v>1045989.51</v>
      </c>
      <c r="F5" s="20"/>
      <c r="G5" s="3"/>
    </row>
    <row r="6" spans="1:10" x14ac:dyDescent="0.2">
      <c r="A6" s="2"/>
    </row>
    <row r="7" spans="1:10" ht="54" x14ac:dyDescent="0.25">
      <c r="A7" s="1" t="s">
        <v>12</v>
      </c>
      <c r="B7" s="3" t="s">
        <v>2</v>
      </c>
      <c r="C7" s="3" t="s">
        <v>3</v>
      </c>
      <c r="D7" s="3" t="s">
        <v>20</v>
      </c>
      <c r="E7" s="3" t="s">
        <v>11</v>
      </c>
      <c r="F7" s="3" t="s">
        <v>4</v>
      </c>
      <c r="G7" s="3" t="s">
        <v>5</v>
      </c>
    </row>
    <row r="8" spans="1:10" ht="25.5" x14ac:dyDescent="0.2">
      <c r="A8" t="s">
        <v>17</v>
      </c>
      <c r="B8" s="13">
        <f>383754.68*0.2</f>
        <v>76750.936000000002</v>
      </c>
      <c r="C8" s="13">
        <f>383754.68-B8-D8-E8</f>
        <v>307003.74400000001</v>
      </c>
      <c r="D8" s="13">
        <v>0</v>
      </c>
      <c r="E8" s="12">
        <v>0</v>
      </c>
      <c r="F8" s="12">
        <f>SUM(B8:E8)</f>
        <v>383754.68</v>
      </c>
      <c r="G8" s="7" t="s">
        <v>27</v>
      </c>
    </row>
    <row r="9" spans="1:10" x14ac:dyDescent="0.2">
      <c r="B9" s="13">
        <v>0</v>
      </c>
      <c r="C9" s="13">
        <v>5309.46</v>
      </c>
      <c r="D9" s="13">
        <v>0</v>
      </c>
      <c r="E9" s="12">
        <v>0</v>
      </c>
      <c r="F9" s="12">
        <f t="shared" ref="F9:F31" si="0">SUM(B9:E9)</f>
        <v>5309.46</v>
      </c>
      <c r="G9" s="6" t="s">
        <v>7</v>
      </c>
    </row>
    <row r="10" spans="1:10" x14ac:dyDescent="0.2">
      <c r="B10" s="13">
        <v>0</v>
      </c>
      <c r="C10" s="13">
        <v>13894.13</v>
      </c>
      <c r="D10" s="13">
        <v>0</v>
      </c>
      <c r="E10" s="12">
        <v>0</v>
      </c>
      <c r="F10" s="12">
        <f t="shared" si="0"/>
        <v>13894.13</v>
      </c>
      <c r="G10" s="6" t="s">
        <v>8</v>
      </c>
    </row>
    <row r="11" spans="1:10" x14ac:dyDescent="0.2">
      <c r="B11" s="13">
        <v>0</v>
      </c>
      <c r="C11" s="13">
        <v>3234.91</v>
      </c>
      <c r="D11" s="13">
        <v>0</v>
      </c>
      <c r="E11" s="12">
        <v>0</v>
      </c>
      <c r="F11" s="12">
        <f t="shared" si="0"/>
        <v>3234.91</v>
      </c>
      <c r="G11" s="6" t="s">
        <v>6</v>
      </c>
    </row>
    <row r="12" spans="1:10" x14ac:dyDescent="0.2">
      <c r="B12" s="13">
        <f>28707.77*0.2</f>
        <v>5741.5540000000001</v>
      </c>
      <c r="C12" s="13">
        <f>28707.77-B12-D12-E12</f>
        <v>22966.216</v>
      </c>
      <c r="D12" s="13">
        <v>0</v>
      </c>
      <c r="E12" s="12">
        <v>0</v>
      </c>
      <c r="F12" s="12">
        <f t="shared" si="0"/>
        <v>28707.77</v>
      </c>
      <c r="G12" s="6" t="s">
        <v>36</v>
      </c>
    </row>
    <row r="13" spans="1:10" x14ac:dyDescent="0.2">
      <c r="B13" s="13">
        <v>0</v>
      </c>
      <c r="C13" s="13">
        <v>3134.66</v>
      </c>
      <c r="D13" s="13">
        <v>0</v>
      </c>
      <c r="E13" s="12">
        <v>0</v>
      </c>
      <c r="F13" s="12">
        <f t="shared" si="0"/>
        <v>3134.66</v>
      </c>
      <c r="G13" s="6" t="s">
        <v>9</v>
      </c>
    </row>
    <row r="14" spans="1:10" x14ac:dyDescent="0.2">
      <c r="B14" s="13">
        <f>441505.97*0.2</f>
        <v>88301.194000000003</v>
      </c>
      <c r="C14" s="13">
        <f>441505.97-B14-D14-E14</f>
        <v>353204.77599999995</v>
      </c>
      <c r="D14" s="13">
        <v>0</v>
      </c>
      <c r="E14" s="12">
        <v>0</v>
      </c>
      <c r="F14" s="12">
        <f t="shared" si="0"/>
        <v>441505.97</v>
      </c>
      <c r="G14" s="7" t="s">
        <v>28</v>
      </c>
    </row>
    <row r="15" spans="1:10" x14ac:dyDescent="0.2">
      <c r="A15" t="s">
        <v>16</v>
      </c>
      <c r="B15" s="13">
        <v>0</v>
      </c>
      <c r="C15" s="13">
        <f t="shared" ref="C15:C21" si="1">-B15-D15-E15</f>
        <v>0</v>
      </c>
      <c r="D15" s="13">
        <v>0</v>
      </c>
      <c r="E15" s="12">
        <v>0</v>
      </c>
      <c r="F15" s="12">
        <f t="shared" si="0"/>
        <v>0</v>
      </c>
      <c r="G15" s="6" t="s">
        <v>24</v>
      </c>
    </row>
    <row r="16" spans="1:10" ht="26.25" customHeight="1" x14ac:dyDescent="0.2">
      <c r="A16" t="s">
        <v>15</v>
      </c>
      <c r="B16" s="13">
        <f>56924.35+3479.84</f>
        <v>60404.19</v>
      </c>
      <c r="C16" s="13">
        <f>60404.19-B16-D16-E16</f>
        <v>0</v>
      </c>
      <c r="D16" s="13">
        <v>0</v>
      </c>
      <c r="E16" s="12">
        <v>0</v>
      </c>
      <c r="F16" s="12">
        <f t="shared" si="0"/>
        <v>60404.19</v>
      </c>
      <c r="G16" s="7" t="s">
        <v>19</v>
      </c>
      <c r="J16" s="11"/>
    </row>
    <row r="17" spans="1:9" x14ac:dyDescent="0.2">
      <c r="A17" t="s">
        <v>14</v>
      </c>
      <c r="B17" s="13">
        <v>0</v>
      </c>
      <c r="C17" s="13">
        <v>4719.04</v>
      </c>
      <c r="D17" s="13">
        <v>0</v>
      </c>
      <c r="E17" s="13">
        <v>0</v>
      </c>
      <c r="F17" s="12">
        <f>SUM(B17:E17)</f>
        <v>4719.04</v>
      </c>
      <c r="G17" s="6" t="s">
        <v>44</v>
      </c>
    </row>
    <row r="18" spans="1:9" x14ac:dyDescent="0.2">
      <c r="B18" s="13">
        <v>59372.56</v>
      </c>
      <c r="C18" s="13">
        <f>59372.56-B18-D18-E18</f>
        <v>0</v>
      </c>
      <c r="D18" s="13">
        <v>0</v>
      </c>
      <c r="E18" s="13">
        <v>0</v>
      </c>
      <c r="F18" s="12">
        <f>SUM(B18:E18)</f>
        <v>59372.56</v>
      </c>
      <c r="G18" s="6" t="s">
        <v>37</v>
      </c>
    </row>
    <row r="19" spans="1:9" x14ac:dyDescent="0.2">
      <c r="B19" s="13">
        <f>52139.04-55622.63</f>
        <v>-3483.5899999999965</v>
      </c>
      <c r="C19" s="13">
        <v>0</v>
      </c>
      <c r="D19" s="13">
        <v>0</v>
      </c>
      <c r="E19" s="13">
        <v>55622.63</v>
      </c>
      <c r="F19" s="12">
        <f t="shared" si="0"/>
        <v>52139.040000000001</v>
      </c>
      <c r="G19" s="6" t="s">
        <v>26</v>
      </c>
      <c r="I19" s="11"/>
    </row>
    <row r="20" spans="1:9" x14ac:dyDescent="0.2">
      <c r="B20" s="13">
        <f>35691*0.15</f>
        <v>5353.65</v>
      </c>
      <c r="C20" s="13">
        <v>0</v>
      </c>
      <c r="D20" s="13">
        <v>0</v>
      </c>
      <c r="E20" s="13">
        <v>30337.35</v>
      </c>
      <c r="F20" s="12">
        <f t="shared" si="0"/>
        <v>35691</v>
      </c>
      <c r="G20" s="6" t="s">
        <v>34</v>
      </c>
    </row>
    <row r="21" spans="1:9" x14ac:dyDescent="0.2">
      <c r="B21" s="13">
        <v>0</v>
      </c>
      <c r="C21" s="13">
        <f t="shared" si="1"/>
        <v>0</v>
      </c>
      <c r="D21" s="13">
        <v>0</v>
      </c>
      <c r="E21" s="13">
        <v>0</v>
      </c>
      <c r="F21" s="12">
        <f t="shared" si="0"/>
        <v>0</v>
      </c>
      <c r="G21" s="6" t="s">
        <v>38</v>
      </c>
    </row>
    <row r="22" spans="1:9" x14ac:dyDescent="0.2">
      <c r="B22" s="13">
        <v>3268.6</v>
      </c>
      <c r="C22" s="13">
        <f>3268.6-B22-D22-E22</f>
        <v>0</v>
      </c>
      <c r="D22" s="13">
        <v>0</v>
      </c>
      <c r="E22" s="13">
        <v>0</v>
      </c>
      <c r="F22" s="12">
        <f t="shared" ref="F22:F28" si="2">SUM(B22:E22)</f>
        <v>3268.6</v>
      </c>
      <c r="G22" s="6" t="s">
        <v>46</v>
      </c>
    </row>
    <row r="23" spans="1:9" x14ac:dyDescent="0.2">
      <c r="B23" s="13">
        <v>17662.2</v>
      </c>
      <c r="C23" s="13">
        <f>17662.2-B23-D23-E23</f>
        <v>0</v>
      </c>
      <c r="D23" s="13">
        <v>0</v>
      </c>
      <c r="E23" s="13">
        <v>0</v>
      </c>
      <c r="F23" s="12">
        <f t="shared" ref="F23" si="3">SUM(B23:E23)</f>
        <v>17662.2</v>
      </c>
      <c r="G23" s="6" t="s">
        <v>47</v>
      </c>
    </row>
    <row r="24" spans="1:9" x14ac:dyDescent="0.2">
      <c r="B24" s="13">
        <v>60000</v>
      </c>
      <c r="C24" s="13">
        <f>60000-B24-D24-E24</f>
        <v>0</v>
      </c>
      <c r="D24" s="13">
        <v>0</v>
      </c>
      <c r="E24" s="13">
        <v>0</v>
      </c>
      <c r="F24" s="12">
        <f t="shared" si="2"/>
        <v>60000</v>
      </c>
      <c r="G24" s="6" t="s">
        <v>22</v>
      </c>
    </row>
    <row r="25" spans="1:9" x14ac:dyDescent="0.2">
      <c r="B25" s="13">
        <v>94857.66</v>
      </c>
      <c r="C25" s="13">
        <f>94857.66-B25-D25-E25</f>
        <v>0</v>
      </c>
      <c r="D25" s="13">
        <v>0</v>
      </c>
      <c r="E25" s="13">
        <v>0</v>
      </c>
      <c r="F25" s="12">
        <f t="shared" si="2"/>
        <v>94857.66</v>
      </c>
      <c r="G25" s="6" t="s">
        <v>39</v>
      </c>
    </row>
    <row r="26" spans="1:9" x14ac:dyDescent="0.2">
      <c r="B26" s="13">
        <f>206832.54*0.2</f>
        <v>41366.508000000002</v>
      </c>
      <c r="C26" s="13">
        <f>206832.54-B26-D26-E26</f>
        <v>165466.03200000001</v>
      </c>
      <c r="D26" s="13">
        <v>0</v>
      </c>
      <c r="E26" s="13">
        <v>0</v>
      </c>
      <c r="F26" s="12">
        <f t="shared" si="2"/>
        <v>206832.54</v>
      </c>
      <c r="G26" s="6" t="s">
        <v>40</v>
      </c>
    </row>
    <row r="27" spans="1:9" x14ac:dyDescent="0.2">
      <c r="B27" s="13">
        <f>523362.68-E27</f>
        <v>188934.32999999996</v>
      </c>
      <c r="C27" s="13">
        <v>0</v>
      </c>
      <c r="D27" s="13">
        <v>0</v>
      </c>
      <c r="E27" s="13">
        <f>364765.7-30337.35</f>
        <v>334428.35000000003</v>
      </c>
      <c r="F27" s="12">
        <f t="shared" si="2"/>
        <v>523362.68</v>
      </c>
      <c r="G27" s="6" t="s">
        <v>29</v>
      </c>
    </row>
    <row r="28" spans="1:9" x14ac:dyDescent="0.2">
      <c r="B28" s="13">
        <v>0</v>
      </c>
      <c r="C28" s="13">
        <f t="shared" ref="C28" si="4">-B28-D28-E28</f>
        <v>0</v>
      </c>
      <c r="D28" s="13">
        <v>0</v>
      </c>
      <c r="E28" s="13">
        <v>0</v>
      </c>
      <c r="F28" s="12">
        <f t="shared" si="2"/>
        <v>0</v>
      </c>
      <c r="G28" s="6" t="s">
        <v>42</v>
      </c>
    </row>
    <row r="29" spans="1:9" x14ac:dyDescent="0.2">
      <c r="B29" s="13">
        <v>108214.97</v>
      </c>
      <c r="C29" s="13">
        <f>108214.97-B29-D29-E29</f>
        <v>0</v>
      </c>
      <c r="D29" s="13">
        <v>0</v>
      </c>
      <c r="E29" s="13">
        <v>0</v>
      </c>
      <c r="F29" s="12">
        <f t="shared" ref="F29" si="5">SUM(B29:E29)</f>
        <v>108214.97</v>
      </c>
      <c r="G29" s="6" t="s">
        <v>41</v>
      </c>
    </row>
    <row r="30" spans="1:9" x14ac:dyDescent="0.2">
      <c r="B30" s="13">
        <v>55933.75</v>
      </c>
      <c r="C30" s="13">
        <v>0</v>
      </c>
      <c r="D30" s="13">
        <v>0</v>
      </c>
      <c r="E30" s="13">
        <v>0</v>
      </c>
      <c r="F30" s="12">
        <f t="shared" ref="F30" si="6">SUM(B30:E30)</f>
        <v>55933.75</v>
      </c>
      <c r="G30" s="6" t="s">
        <v>30</v>
      </c>
    </row>
    <row r="31" spans="1:9" x14ac:dyDescent="0.2">
      <c r="B31" s="13">
        <v>-1888.54</v>
      </c>
      <c r="C31" s="13"/>
      <c r="D31" s="13">
        <v>0</v>
      </c>
      <c r="E31" s="13">
        <v>1888.54</v>
      </c>
      <c r="F31" s="12">
        <f t="shared" si="0"/>
        <v>0</v>
      </c>
      <c r="G31" s="6" t="s">
        <v>45</v>
      </c>
    </row>
    <row r="32" spans="1:9" ht="13.5" thickBot="1" x14ac:dyDescent="0.25">
      <c r="A32" t="s">
        <v>10</v>
      </c>
      <c r="B32" s="19">
        <f>SUM(B8:B31)</f>
        <v>860789.97199999995</v>
      </c>
      <c r="C32" s="19">
        <f t="shared" ref="C32:F32" si="7">SUM(C8:C31)</f>
        <v>878932.96799999999</v>
      </c>
      <c r="D32" s="19">
        <f t="shared" si="7"/>
        <v>0</v>
      </c>
      <c r="E32" s="19">
        <f t="shared" si="7"/>
        <v>422276.87</v>
      </c>
      <c r="F32" s="19">
        <f t="shared" si="7"/>
        <v>2161999.81</v>
      </c>
      <c r="G32" s="6"/>
    </row>
    <row r="33" spans="1:9" ht="13.5" thickTop="1" x14ac:dyDescent="0.2">
      <c r="A33" t="s">
        <v>18</v>
      </c>
      <c r="B33" s="25">
        <f>B32/F32</f>
        <v>0.39814525793135935</v>
      </c>
      <c r="C33" s="25">
        <f>C32/F32</f>
        <v>0.40653702370121853</v>
      </c>
      <c r="D33" s="25">
        <f>D32/F32</f>
        <v>0</v>
      </c>
      <c r="E33" s="25">
        <f>E32/F32</f>
        <v>0.19531771836742204</v>
      </c>
      <c r="F33" s="20"/>
    </row>
    <row r="34" spans="1:9" x14ac:dyDescent="0.2">
      <c r="B34" s="5"/>
      <c r="F34" s="5"/>
    </row>
    <row r="35" spans="1:9" ht="30" customHeight="1" x14ac:dyDescent="0.2">
      <c r="A35" s="28" t="s">
        <v>32</v>
      </c>
      <c r="B35" s="28"/>
      <c r="C35" s="28"/>
      <c r="D35" s="28"/>
      <c r="E35" s="28"/>
      <c r="F35" s="15">
        <f>2406130.47-F36-F37</f>
        <v>2620956.4420000003</v>
      </c>
    </row>
    <row r="36" spans="1:9" ht="27" customHeight="1" x14ac:dyDescent="0.2">
      <c r="A36" s="28" t="s">
        <v>31</v>
      </c>
      <c r="B36" s="28"/>
      <c r="C36" s="28"/>
      <c r="D36" s="28"/>
      <c r="E36" s="28"/>
      <c r="F36" s="17">
        <f>C5-B32</f>
        <v>-214825.97199999995</v>
      </c>
      <c r="G36" s="21" t="s">
        <v>49</v>
      </c>
    </row>
    <row r="37" spans="1:9" ht="23.25" customHeight="1" x14ac:dyDescent="0.2">
      <c r="A37" s="9" t="s">
        <v>25</v>
      </c>
      <c r="C37" s="11"/>
      <c r="D37" s="11"/>
      <c r="E37" s="11"/>
      <c r="F37" s="17">
        <f>-D32</f>
        <v>0</v>
      </c>
      <c r="I37" s="24"/>
    </row>
    <row r="38" spans="1:9" ht="27.75" customHeight="1" thickBot="1" x14ac:dyDescent="0.25">
      <c r="A38" s="9" t="s">
        <v>23</v>
      </c>
      <c r="C38" s="11"/>
      <c r="D38" s="16"/>
      <c r="E38" s="16"/>
      <c r="F38" s="18">
        <f>SUM(F35:F37)</f>
        <v>2406130.4700000002</v>
      </c>
      <c r="I38" s="24"/>
    </row>
    <row r="39" spans="1:9" ht="13.5" thickTop="1" x14ac:dyDescent="0.2">
      <c r="A39" s="9"/>
    </row>
    <row r="40" spans="1:9" x14ac:dyDescent="0.2">
      <c r="A40" t="s">
        <v>48</v>
      </c>
      <c r="B40" s="10"/>
    </row>
    <row r="41" spans="1:9" x14ac:dyDescent="0.2">
      <c r="A41" s="23"/>
    </row>
  </sheetData>
  <mergeCells count="4">
    <mergeCell ref="A1:G1"/>
    <mergeCell ref="B2:F2"/>
    <mergeCell ref="A35:E35"/>
    <mergeCell ref="A36:E36"/>
  </mergeCells>
  <pageMargins left="0.39" right="0.27" top="0.56000000000000005" bottom="0.17" header="0.3" footer="0.3"/>
  <pageSetup scale="82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June 30</vt:lpstr>
      <vt:lpstr>Dec 31</vt:lpstr>
      <vt:lpstr>Dec 31 2023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CLERKTREAS</dc:creator>
  <cp:lastModifiedBy>Chantell Steiner</cp:lastModifiedBy>
  <cp:lastPrinted>2025-01-24T23:16:01Z</cp:lastPrinted>
  <dcterms:created xsi:type="dcterms:W3CDTF">2012-05-09T21:52:20Z</dcterms:created>
  <dcterms:modified xsi:type="dcterms:W3CDTF">2025-01-24T23:30:07Z</dcterms:modified>
</cp:coreProperties>
</file>