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UNCIL\COUNCIL TRANSPORTATION BENEFIT DISTRICT\TBD BUDGET\2025-2026\"/>
    </mc:Choice>
  </mc:AlternateContent>
  <xr:revisionPtr revIDLastSave="0" documentId="13_ncr:1_{96CC8989-DA53-4D8D-90D5-8FCD9A4C98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ne 30 2025" sheetId="10" r:id="rId1"/>
    <sheet name="Dec 31 2025" sheetId="11" r:id="rId2"/>
    <sheet name="Dec 31 2024" sheetId="9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1" l="1"/>
  <c r="F47" i="11"/>
  <c r="C10" i="11"/>
  <c r="F10" i="11" s="1"/>
  <c r="B14" i="11"/>
  <c r="B12" i="11"/>
  <c r="B8" i="11"/>
  <c r="C8" i="11" s="1"/>
  <c r="C43" i="11"/>
  <c r="C36" i="11"/>
  <c r="F36" i="11" s="1"/>
  <c r="B42" i="11"/>
  <c r="C42" i="11"/>
  <c r="F42" i="11" s="1"/>
  <c r="B33" i="11"/>
  <c r="C25" i="11"/>
  <c r="C24" i="11"/>
  <c r="E22" i="11"/>
  <c r="E44" i="11" s="1"/>
  <c r="B21" i="11"/>
  <c r="C21" i="11" s="1"/>
  <c r="F21" i="11" s="1"/>
  <c r="B20" i="11"/>
  <c r="C20" i="11" s="1"/>
  <c r="F20" i="11" s="1"/>
  <c r="B32" i="11"/>
  <c r="B16" i="11"/>
  <c r="C14" i="11"/>
  <c r="F14" i="11" s="1"/>
  <c r="C12" i="11"/>
  <c r="B5" i="11"/>
  <c r="D44" i="11"/>
  <c r="F43" i="11"/>
  <c r="F41" i="11"/>
  <c r="C40" i="11"/>
  <c r="F40" i="11" s="1"/>
  <c r="F39" i="11"/>
  <c r="C38" i="11"/>
  <c r="F38" i="11" s="1"/>
  <c r="F37" i="11"/>
  <c r="C37" i="11"/>
  <c r="C35" i="11"/>
  <c r="F35" i="11" s="1"/>
  <c r="C34" i="11"/>
  <c r="F34" i="11" s="1"/>
  <c r="F33" i="11"/>
  <c r="F32" i="11"/>
  <c r="C31" i="11"/>
  <c r="F31" i="11" s="1"/>
  <c r="B30" i="11"/>
  <c r="F30" i="11" s="1"/>
  <c r="C29" i="11"/>
  <c r="F29" i="11" s="1"/>
  <c r="F28" i="11"/>
  <c r="C28" i="11"/>
  <c r="C27" i="11"/>
  <c r="F27" i="11" s="1"/>
  <c r="F26" i="11"/>
  <c r="C26" i="11"/>
  <c r="F25" i="11"/>
  <c r="F24" i="11"/>
  <c r="C23" i="11"/>
  <c r="F23" i="11" s="1"/>
  <c r="F19" i="11"/>
  <c r="F18" i="11"/>
  <c r="F17" i="11"/>
  <c r="F16" i="11"/>
  <c r="F15" i="11"/>
  <c r="C15" i="11"/>
  <c r="F13" i="11"/>
  <c r="F11" i="11"/>
  <c r="F9" i="11"/>
  <c r="E5" i="11"/>
  <c r="F22" i="11" l="1"/>
  <c r="B44" i="11"/>
  <c r="F12" i="11"/>
  <c r="C44" i="11"/>
  <c r="B32" i="10"/>
  <c r="F32" i="10" s="1"/>
  <c r="C31" i="10"/>
  <c r="F33" i="10"/>
  <c r="B30" i="10"/>
  <c r="F22" i="10"/>
  <c r="F41" i="10"/>
  <c r="F19" i="10"/>
  <c r="F39" i="10"/>
  <c r="D44" i="10"/>
  <c r="E44" i="10"/>
  <c r="C43" i="10"/>
  <c r="F43" i="10" s="1"/>
  <c r="C42" i="10"/>
  <c r="F42" i="10" s="1"/>
  <c r="C35" i="10"/>
  <c r="F35" i="10"/>
  <c r="C34" i="10"/>
  <c r="F34" i="10" s="1"/>
  <c r="C36" i="10"/>
  <c r="F36" i="10"/>
  <c r="C37" i="10"/>
  <c r="F37" i="10"/>
  <c r="C28" i="10"/>
  <c r="F28" i="10" s="1"/>
  <c r="C29" i="10"/>
  <c r="F29" i="10" s="1"/>
  <c r="F30" i="10"/>
  <c r="F31" i="10"/>
  <c r="C38" i="10"/>
  <c r="F38" i="10" s="1"/>
  <c r="C40" i="10"/>
  <c r="F40" i="10" s="1"/>
  <c r="C26" i="10"/>
  <c r="F26" i="10" s="1"/>
  <c r="C25" i="10"/>
  <c r="C24" i="10"/>
  <c r="F24" i="10" s="1"/>
  <c r="C23" i="10"/>
  <c r="F23" i="10" s="1"/>
  <c r="C21" i="10"/>
  <c r="B16" i="10"/>
  <c r="C16" i="10" s="1"/>
  <c r="B14" i="10"/>
  <c r="C14" i="10" s="1"/>
  <c r="B12" i="10"/>
  <c r="C12" i="10" s="1"/>
  <c r="B8" i="10"/>
  <c r="C8" i="10" s="1"/>
  <c r="C27" i="10"/>
  <c r="F27" i="10" s="1"/>
  <c r="F25" i="10"/>
  <c r="F21" i="10"/>
  <c r="F18" i="10"/>
  <c r="F17" i="10"/>
  <c r="C15" i="10"/>
  <c r="F15" i="10" s="1"/>
  <c r="F13" i="10"/>
  <c r="F11" i="10"/>
  <c r="F10" i="10"/>
  <c r="F9" i="10"/>
  <c r="E5" i="10"/>
  <c r="F50" i="11" l="1"/>
  <c r="F8" i="11"/>
  <c r="F44" i="11" s="1"/>
  <c r="B44" i="10"/>
  <c r="F48" i="10" s="1"/>
  <c r="F47" i="10" s="1"/>
  <c r="F50" i="10" s="1"/>
  <c r="C20" i="10"/>
  <c r="F20" i="10" s="1"/>
  <c r="F14" i="10"/>
  <c r="F16" i="10"/>
  <c r="F12" i="10"/>
  <c r="F47" i="9"/>
  <c r="C26" i="9"/>
  <c r="F26" i="9"/>
  <c r="F51" i="9"/>
  <c r="F50" i="9"/>
  <c r="C37" i="9"/>
  <c r="F37" i="9"/>
  <c r="C38" i="9"/>
  <c r="F38" i="9"/>
  <c r="C42" i="9"/>
  <c r="C45" i="9"/>
  <c r="F45" i="9" s="1"/>
  <c r="F43" i="9"/>
  <c r="F42" i="9"/>
  <c r="C36" i="9"/>
  <c r="F36" i="9" s="1"/>
  <c r="C34" i="9"/>
  <c r="C25" i="9"/>
  <c r="F25" i="9" s="1"/>
  <c r="F27" i="9"/>
  <c r="C23" i="9"/>
  <c r="F34" i="9"/>
  <c r="C22" i="9"/>
  <c r="F22" i="9" s="1"/>
  <c r="B16" i="9"/>
  <c r="C16" i="9" s="1"/>
  <c r="B14" i="9"/>
  <c r="B12" i="9"/>
  <c r="C12" i="9" s="1"/>
  <c r="B8" i="9"/>
  <c r="C8" i="9" s="1"/>
  <c r="C5" i="9"/>
  <c r="E5" i="9" s="1"/>
  <c r="E47" i="9"/>
  <c r="D47" i="9"/>
  <c r="F46" i="9"/>
  <c r="F44" i="9"/>
  <c r="F41" i="9"/>
  <c r="C40" i="9"/>
  <c r="F40" i="9" s="1"/>
  <c r="C39" i="9"/>
  <c r="F39" i="9" s="1"/>
  <c r="F35" i="9"/>
  <c r="F33" i="9"/>
  <c r="C32" i="9"/>
  <c r="F32" i="9" s="1"/>
  <c r="C31" i="9"/>
  <c r="F31" i="9" s="1"/>
  <c r="B30" i="9"/>
  <c r="F30" i="9" s="1"/>
  <c r="F29" i="9"/>
  <c r="C28" i="9"/>
  <c r="F28" i="9" s="1"/>
  <c r="C24" i="9"/>
  <c r="F24" i="9" s="1"/>
  <c r="F23" i="9"/>
  <c r="F21" i="9"/>
  <c r="C20" i="9"/>
  <c r="F20" i="9" s="1"/>
  <c r="F19" i="9"/>
  <c r="F18" i="9"/>
  <c r="F17" i="9"/>
  <c r="C15" i="9"/>
  <c r="F15" i="9" s="1"/>
  <c r="F13" i="9"/>
  <c r="F11" i="9"/>
  <c r="F10" i="9"/>
  <c r="F9" i="9"/>
  <c r="D45" i="11" l="1"/>
  <c r="E45" i="11"/>
  <c r="B45" i="11"/>
  <c r="C45" i="11"/>
  <c r="C44" i="10"/>
  <c r="F8" i="10"/>
  <c r="F44" i="10" s="1"/>
  <c r="C14" i="9"/>
  <c r="F14" i="9" s="1"/>
  <c r="F16" i="9"/>
  <c r="B47" i="9"/>
  <c r="F12" i="9"/>
  <c r="B45" i="10" l="1"/>
  <c r="D45" i="10"/>
  <c r="E45" i="10"/>
  <c r="C45" i="10"/>
  <c r="F53" i="9"/>
  <c r="C47" i="9"/>
  <c r="F8" i="9"/>
  <c r="C48" i="9" l="1"/>
  <c r="E48" i="9"/>
  <c r="D48" i="9"/>
  <c r="B4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CLERKTREAS</author>
    <author>Chantell Steiner</author>
  </authors>
  <commentList>
    <comment ref="F47" authorId="0" shapeId="0" xr:uid="{5C75DF8C-3466-4C80-A49C-51615A4DF748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  <comment ref="F48" authorId="1" shapeId="0" xr:uid="{F4BFB0AB-CD02-452C-85FB-E25D6A359BD5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This balance includes a credit carryover of $214,825.97 in TBD Funds from 2023 that was due to the Street Fund and is coming out of 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CLERKTREAS</author>
    <author>Chantell Steiner</author>
  </authors>
  <commentList>
    <comment ref="F47" authorId="0" shapeId="0" xr:uid="{99A27B94-2239-48A9-9591-CEE7768E3020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  <comment ref="F48" authorId="1" shapeId="0" xr:uid="{282F8686-0805-4B7B-971D-62ACCFD5E5C1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This balance includes a credit carryover of $214,825.97 in TBD Funds from 2023 that was due to the Street Fund and is coming out of 2024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Chantell Steiner</author>
    <author>CLERKTREAS</author>
  </authors>
  <commentList>
    <comment ref="E26" authorId="0" shapeId="0" xr:uid="{82088250-DB7A-4E33-BABC-C5A6E7BBFF81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Note this is the beginning of a $75K grant that the City has had for several years from TIB that was originally for Orchard St.  Use funds from engineering first and then remaining from construction in 2025.</t>
        </r>
      </text>
    </comment>
    <comment ref="F50" authorId="1" shapeId="0" xr:uid="{ACC812C0-89E7-42FF-A966-C491D40677FE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  <comment ref="F51" authorId="0" shapeId="0" xr:uid="{18A8EFDF-1648-4078-8F6E-AFD323DD6CEB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This balance includes a credit carryover of $214,825.97 in TBD Funds from 2023 that was due to the Street Fund and is coming out of 2024</t>
        </r>
      </text>
    </comment>
  </commentList>
</comments>
</file>

<file path=xl/sharedStrings.xml><?xml version="1.0" encoding="utf-8"?>
<sst xmlns="http://schemas.openxmlformats.org/spreadsheetml/2006/main" count="189" uniqueCount="80">
  <si>
    <t>TBD Remaining Funds</t>
  </si>
  <si>
    <t>TBD Revenue / Expenses</t>
  </si>
  <si>
    <t>TBD Funds</t>
  </si>
  <si>
    <t>City Street Funds</t>
  </si>
  <si>
    <t>Total Project Cost</t>
  </si>
  <si>
    <t>Project Description</t>
  </si>
  <si>
    <t>Traffic Control Supplies</t>
  </si>
  <si>
    <t>Sidewalk Repairs</t>
  </si>
  <si>
    <t>Street Lighting: Supplies, Utilities, Repairs</t>
  </si>
  <si>
    <t>Street Cleaning</t>
  </si>
  <si>
    <t>TOTALS</t>
  </si>
  <si>
    <t>Loans or Grants</t>
  </si>
  <si>
    <t>City Transportation Expenses</t>
  </si>
  <si>
    <t>TBD Revenue Received (Includes Current Year Beginning Fund Balance)</t>
  </si>
  <si>
    <t>Capital Expenses</t>
  </si>
  <si>
    <t>Debt Expenses</t>
  </si>
  <si>
    <t>Loan Expenses</t>
  </si>
  <si>
    <t>Operations Expenses</t>
  </si>
  <si>
    <t>Percent of Total</t>
  </si>
  <si>
    <t>PWTF 09 Engineering &amp; 2012 Front Street Construction Loan Debt Payments for Residential and Commercial Projects</t>
  </si>
  <si>
    <t>Real Estate Excise Tax Funds</t>
  </si>
  <si>
    <t>Transfer to City Street Fund</t>
  </si>
  <si>
    <t>Residential Road/Street Construction</t>
  </si>
  <si>
    <t>None at this time</t>
  </si>
  <si>
    <t>Pine Street Phase II Study</t>
  </si>
  <si>
    <t>Roadway Engineering &amp; Maintenance Costs (Personnel Included) - 80% Street Fund; 20% TBD</t>
  </si>
  <si>
    <t>Street Admin &amp; Overhead 80% Street Fund; 20% TBD</t>
  </si>
  <si>
    <t>TIB 2022 - Ski Hill Sidewalks - Const.</t>
  </si>
  <si>
    <t>TIB 2022 - Ski Hill Sidewalks - Const. Admin</t>
  </si>
  <si>
    <t>TBD Remaining Funds in the Street Fund</t>
  </si>
  <si>
    <t>TBD Expenses or Other Transfers to Transportation Projects</t>
  </si>
  <si>
    <t>TIB 2022 - Ski Hill Sidewalks - Eng.</t>
  </si>
  <si>
    <t>Snow &amp; Ice Control - 80% Street Fund; 20% TBD</t>
  </si>
  <si>
    <t>Annual Roadway Preventative Maint.</t>
  </si>
  <si>
    <t>WSDOT Paving - 12th &amp; Chumstick</t>
  </si>
  <si>
    <t>TIB 2024 - Scrub Seal Red Town Eng.</t>
  </si>
  <si>
    <t>*  5% - 20% of costs for Roadway Maintenance/Street Administration is necessary to offset costs incurred for personnel, and operations related to street maintenance/preservation.</t>
  </si>
  <si>
    <t>2024 Leavenworth Transportation Benefit District / City Revenue and Expense Project Tracking</t>
  </si>
  <si>
    <t>Riverbend Intersection Study (2019 Expenditure moved to 2024)</t>
  </si>
  <si>
    <t>2024 TIB Street Maint. - Eng</t>
  </si>
  <si>
    <t>WSDOT STBG/TA-Ski Hill P. II - Eng.</t>
  </si>
  <si>
    <t>USDOT-Safe Street/Roads Plan</t>
  </si>
  <si>
    <t>2024 - Central Ave - Const.</t>
  </si>
  <si>
    <t>2024 Sidewalk Add. Commercial &amp; Scholze</t>
  </si>
  <si>
    <t>2024 TIB Street Maint. - Const.</t>
  </si>
  <si>
    <t>WSDOT STBG/TA-Ski Hill P. II - Const.</t>
  </si>
  <si>
    <t>TIB 2024 - Scrub Seal Red Town Const.</t>
  </si>
  <si>
    <t>WSDOT Salt Shed</t>
  </si>
  <si>
    <t>Chum-Titus Multiuse Trail</t>
  </si>
  <si>
    <t>WSDOT STBG/TA-Ski Hill P. II - Const. Admin</t>
  </si>
  <si>
    <t>As of December 31, 2024</t>
  </si>
  <si>
    <t>Bobcat - Downtown Sidewalks 25% St 75% LT</t>
  </si>
  <si>
    <t>TIB 2024 Curb Ramps - Eng.</t>
  </si>
  <si>
    <t>ROW Land Purchase</t>
  </si>
  <si>
    <t>TBD funds of $214,825.97 were due to the Street Fund in 2023; this balance includes use of that credit plus costs utilized this year.</t>
  </si>
  <si>
    <t>TIB 2024 - Scrub Seal Red Town - Const. Admin</t>
  </si>
  <si>
    <t>TIB 2024 - Street Maint. - Const. Admin</t>
  </si>
  <si>
    <t>TIB 2024 - Curb Ramps - Const. Admin</t>
  </si>
  <si>
    <t>TIB 2024 - Comm. St. Railing - Const. Admin</t>
  </si>
  <si>
    <t>TIB 2024 - Curb Ramps - Const.</t>
  </si>
  <si>
    <t>TIB 2024 - Comm. St. Railing - Const. Admin - $75K TIB Grant</t>
  </si>
  <si>
    <t>TIB 2024 Comm. St. Railing - Eng. - $75K TIB Grant</t>
  </si>
  <si>
    <t>REET Remaining Funds in the Street Fund</t>
  </si>
  <si>
    <t>Total Street Fund Status with Remaining Transfer from TBD</t>
  </si>
  <si>
    <t>Street Fund Current Fund Balance (includes YTD transfer from TBD less any TBD/REET remaining to be spent this year from cells below)</t>
  </si>
  <si>
    <t>2025 Leavenworth Transportation Benefit District / City Revenue and Expense Project Tracking</t>
  </si>
  <si>
    <t>As of June 30, 2025</t>
  </si>
  <si>
    <t>Riverbend Intersection Study (2019 Expenditure moved to 2026)</t>
  </si>
  <si>
    <t>Blackbird Island Bridge</t>
  </si>
  <si>
    <t>ROW Acq - Ski Hill</t>
  </si>
  <si>
    <t>2024 Sidewalk Add. Commercial &amp; Scholze Const.</t>
  </si>
  <si>
    <t>Citywide ADA Inventory</t>
  </si>
  <si>
    <t>Ward Strasse Sidewalk Extension</t>
  </si>
  <si>
    <t>Chum-Titus Multiuse Trail - Const.</t>
  </si>
  <si>
    <t>These TBD funds are being held in the Street Fund for continued maintenance support and various capital projects anticipted for completion this year.</t>
  </si>
  <si>
    <t>As of December 31, 2025</t>
  </si>
  <si>
    <t>Street Admin &amp; Overhead 75% Street Fund; 25% TBD</t>
  </si>
  <si>
    <t>Roadway Engineering &amp; Maintenance Costs (Personnel Included) -100% TBD Fund]</t>
  </si>
  <si>
    <t>Snow &amp; Ice Control - 100% TBD Fund</t>
  </si>
  <si>
    <t>*  5% - 25% of costs for Roadway Maintenance/Street Administration is generally necessary to offset costs incurred for personnel, and operations related to street maintenance/preservation.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</si>
</sst>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43" fontId="3" fillId="2" borderId="2" xfId="1" applyFont="1" applyFill="1" applyBorder="1"/>
    <xf numFmtId="0" fontId="4" fillId="0" borderId="0" xfId="0" applyFont="1"/>
    <xf numFmtId="44" fontId="0" fillId="0" borderId="0" xfId="0" applyNumberFormat="1"/>
    <xf numFmtId="43" fontId="0" fillId="0" borderId="0" xfId="0" applyNumberFormat="1"/>
    <xf numFmtId="43" fontId="3" fillId="0" borderId="2" xfId="1" applyFont="1" applyBorder="1"/>
    <xf numFmtId="43" fontId="3" fillId="0" borderId="2" xfId="1" applyFont="1" applyFill="1" applyBorder="1"/>
    <xf numFmtId="43" fontId="3" fillId="3" borderId="2" xfId="1" applyFont="1" applyFill="1" applyBorder="1"/>
    <xf numFmtId="40" fontId="4" fillId="0" borderId="0" xfId="2" applyNumberFormat="1" applyFont="1"/>
    <xf numFmtId="8" fontId="0" fillId="0" borderId="0" xfId="0" applyNumberFormat="1"/>
    <xf numFmtId="40" fontId="4" fillId="0" borderId="0" xfId="2" applyNumberFormat="1" applyFont="1" applyFill="1"/>
    <xf numFmtId="40" fontId="4" fillId="0" borderId="4" xfId="2" applyNumberFormat="1" applyFont="1" applyFill="1" applyBorder="1"/>
    <xf numFmtId="43" fontId="4" fillId="0" borderId="3" xfId="0" applyNumberFormat="1" applyFont="1" applyBorder="1"/>
    <xf numFmtId="43" fontId="3" fillId="0" borderId="0" xfId="1" applyFont="1" applyFill="1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43" fontId="0" fillId="0" borderId="0" xfId="1" applyFont="1"/>
    <xf numFmtId="165" fontId="3" fillId="0" borderId="0" xfId="3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2" xfId="0" applyFill="1" applyBorder="1"/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F4DC-7F2C-4C6B-BE19-4717649EB1F9}">
  <sheetPr>
    <pageSetUpPr fitToPage="1"/>
  </sheetPr>
  <dimension ref="A1:J53"/>
  <sheetViews>
    <sheetView topLeftCell="A7" workbookViewId="0">
      <selection activeCell="B18" sqref="B18:H41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65</v>
      </c>
      <c r="B1" s="26"/>
      <c r="C1" s="26"/>
      <c r="D1" s="26"/>
      <c r="E1" s="26"/>
      <c r="F1" s="26"/>
      <c r="G1" s="26"/>
    </row>
    <row r="2" spans="1:10" ht="18" x14ac:dyDescent="0.25">
      <c r="B2" s="27" t="s">
        <v>66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30</v>
      </c>
      <c r="E4" s="4" t="s">
        <v>0</v>
      </c>
      <c r="G4" s="22"/>
    </row>
    <row r="5" spans="1:10" x14ac:dyDescent="0.2">
      <c r="A5" s="2"/>
      <c r="B5" s="14">
        <v>1385553.35</v>
      </c>
      <c r="C5" s="8">
        <v>500000</v>
      </c>
      <c r="D5" s="8">
        <v>0</v>
      </c>
      <c r="E5" s="8">
        <f>B5-C5-D5</f>
        <v>885553.35000000009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196967.3*0.2</f>
        <v>39393.46</v>
      </c>
      <c r="C8" s="13">
        <f>196967.3-B8-D8-E8</f>
        <v>157573.84</v>
      </c>
      <c r="D8" s="13">
        <v>0</v>
      </c>
      <c r="E8" s="12">
        <v>0</v>
      </c>
      <c r="F8" s="12">
        <f>SUM(B8:E8)</f>
        <v>196967.3</v>
      </c>
      <c r="G8" s="7" t="s">
        <v>25</v>
      </c>
    </row>
    <row r="9" spans="1:10" x14ac:dyDescent="0.2">
      <c r="B9" s="13">
        <v>0</v>
      </c>
      <c r="C9" s="13">
        <v>0</v>
      </c>
      <c r="D9" s="13">
        <v>0</v>
      </c>
      <c r="E9" s="12">
        <v>0</v>
      </c>
      <c r="F9" s="12">
        <f t="shared" ref="F9:F21" si="0">SUM(B9:E9)</f>
        <v>0</v>
      </c>
      <c r="G9" s="6" t="s">
        <v>7</v>
      </c>
    </row>
    <row r="10" spans="1:10" x14ac:dyDescent="0.2">
      <c r="B10" s="13">
        <v>0</v>
      </c>
      <c r="C10" s="13">
        <v>6321.4</v>
      </c>
      <c r="D10" s="13">
        <v>0</v>
      </c>
      <c r="E10" s="12">
        <v>0</v>
      </c>
      <c r="F10" s="12">
        <f t="shared" si="0"/>
        <v>6321.4</v>
      </c>
      <c r="G10" s="6" t="s">
        <v>8</v>
      </c>
    </row>
    <row r="11" spans="1:10" x14ac:dyDescent="0.2">
      <c r="B11" s="13">
        <v>0</v>
      </c>
      <c r="C11" s="13">
        <v>109.52</v>
      </c>
      <c r="D11" s="13">
        <v>0</v>
      </c>
      <c r="E11" s="12">
        <v>0</v>
      </c>
      <c r="F11" s="12">
        <f t="shared" si="0"/>
        <v>109.52</v>
      </c>
      <c r="G11" s="6" t="s">
        <v>6</v>
      </c>
    </row>
    <row r="12" spans="1:10" x14ac:dyDescent="0.2">
      <c r="B12" s="13">
        <f>11906.74*0.2</f>
        <v>2381.348</v>
      </c>
      <c r="C12" s="13">
        <f>11906.74-B12-D12-E12</f>
        <v>9525.3919999999998</v>
      </c>
      <c r="D12" s="13">
        <v>0</v>
      </c>
      <c r="E12" s="12">
        <v>0</v>
      </c>
      <c r="F12" s="12">
        <f t="shared" si="0"/>
        <v>11906.74</v>
      </c>
      <c r="G12" s="6" t="s">
        <v>32</v>
      </c>
    </row>
    <row r="13" spans="1:10" x14ac:dyDescent="0.2">
      <c r="B13" s="13">
        <v>0</v>
      </c>
      <c r="C13" s="13">
        <v>4664.54</v>
      </c>
      <c r="D13" s="13">
        <v>0</v>
      </c>
      <c r="E13" s="12">
        <v>0</v>
      </c>
      <c r="F13" s="12">
        <f t="shared" si="0"/>
        <v>4664.54</v>
      </c>
      <c r="G13" s="6" t="s">
        <v>9</v>
      </c>
    </row>
    <row r="14" spans="1:10" x14ac:dyDescent="0.2">
      <c r="B14" s="13">
        <f>301986.36*0.2</f>
        <v>60397.271999999997</v>
      </c>
      <c r="C14" s="13">
        <f>301986.36-B14-D14-E14</f>
        <v>241589.08799999999</v>
      </c>
      <c r="D14" s="13">
        <v>0</v>
      </c>
      <c r="E14" s="12">
        <v>0</v>
      </c>
      <c r="F14" s="12">
        <f t="shared" si="0"/>
        <v>301986.36</v>
      </c>
      <c r="G14" s="7" t="s">
        <v>26</v>
      </c>
    </row>
    <row r="15" spans="1:10" x14ac:dyDescent="0.2">
      <c r="A15" t="s">
        <v>16</v>
      </c>
      <c r="B15" s="13">
        <v>0</v>
      </c>
      <c r="C15" s="13">
        <f t="shared" ref="C15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23</v>
      </c>
    </row>
    <row r="16" spans="1:10" ht="26.25" customHeight="1" x14ac:dyDescent="0.2">
      <c r="A16" t="s">
        <v>15</v>
      </c>
      <c r="B16" s="13">
        <f>56924.35+2910.61</f>
        <v>59834.96</v>
      </c>
      <c r="C16" s="13">
        <f>56924.35+2910.61-B16-D16-E16</f>
        <v>0</v>
      </c>
      <c r="D16" s="13">
        <v>0</v>
      </c>
      <c r="E16" s="12">
        <v>0</v>
      </c>
      <c r="F16" s="12">
        <f t="shared" si="0"/>
        <v>59834.96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0</v>
      </c>
      <c r="D17" s="13">
        <v>0</v>
      </c>
      <c r="E17" s="13">
        <v>0</v>
      </c>
      <c r="F17" s="12">
        <f>SUM(B17:E17)</f>
        <v>0</v>
      </c>
      <c r="G17" s="6" t="s">
        <v>24</v>
      </c>
    </row>
    <row r="18" spans="1:9" x14ac:dyDescent="0.2">
      <c r="B18" s="13">
        <v>0</v>
      </c>
      <c r="C18" s="13">
        <v>0</v>
      </c>
      <c r="D18" s="13">
        <v>0</v>
      </c>
      <c r="E18" s="13">
        <v>0</v>
      </c>
      <c r="F18" s="13">
        <f t="shared" si="0"/>
        <v>0</v>
      </c>
      <c r="G18" s="29" t="s">
        <v>67</v>
      </c>
      <c r="H18" s="30"/>
      <c r="I18" s="11"/>
    </row>
    <row r="19" spans="1:9" x14ac:dyDescent="0.2">
      <c r="B19" s="13">
        <v>0</v>
      </c>
      <c r="C19" s="13">
        <v>-21717.31</v>
      </c>
      <c r="D19" s="13">
        <v>0</v>
      </c>
      <c r="E19" s="13">
        <v>21717.31</v>
      </c>
      <c r="F19" s="13">
        <f>SUM(B19:E19)</f>
        <v>0</v>
      </c>
      <c r="G19" s="29" t="s">
        <v>35</v>
      </c>
      <c r="H19" s="30"/>
      <c r="I19" s="11"/>
    </row>
    <row r="20" spans="1:9" x14ac:dyDescent="0.2">
      <c r="B20" s="13">
        <v>50744.51</v>
      </c>
      <c r="C20" s="13">
        <f>56756.4-B20-D20-E20</f>
        <v>0</v>
      </c>
      <c r="D20" s="13">
        <v>0</v>
      </c>
      <c r="E20" s="13">
        <v>6011.89</v>
      </c>
      <c r="F20" s="13">
        <f t="shared" si="0"/>
        <v>56756.4</v>
      </c>
      <c r="G20" s="29" t="s">
        <v>40</v>
      </c>
      <c r="H20" s="30"/>
    </row>
    <row r="21" spans="1:9" x14ac:dyDescent="0.2">
      <c r="B21" s="13">
        <v>6123.12</v>
      </c>
      <c r="C21" s="13">
        <f>6123.12-B21-D21-E21</f>
        <v>0</v>
      </c>
      <c r="D21" s="13">
        <v>0</v>
      </c>
      <c r="E21" s="13">
        <v>0</v>
      </c>
      <c r="F21" s="13">
        <f t="shared" si="0"/>
        <v>6123.12</v>
      </c>
      <c r="G21" s="29" t="s">
        <v>41</v>
      </c>
      <c r="H21" s="30"/>
    </row>
    <row r="22" spans="1:9" x14ac:dyDescent="0.2">
      <c r="B22" s="13">
        <v>-11478.75</v>
      </c>
      <c r="C22" s="13">
        <v>0</v>
      </c>
      <c r="D22" s="13">
        <v>0</v>
      </c>
      <c r="E22" s="13">
        <v>37132.5</v>
      </c>
      <c r="F22" s="13">
        <f t="shared" ref="F22:F43" si="2">SUM(B22:E22)</f>
        <v>25653.75</v>
      </c>
      <c r="G22" s="29" t="s">
        <v>52</v>
      </c>
      <c r="H22" s="30"/>
    </row>
    <row r="23" spans="1:9" x14ac:dyDescent="0.2">
      <c r="B23" s="13">
        <v>0</v>
      </c>
      <c r="C23" s="13">
        <f>-B23-D23-E23</f>
        <v>0</v>
      </c>
      <c r="D23" s="13">
        <v>0</v>
      </c>
      <c r="E23" s="13">
        <v>0</v>
      </c>
      <c r="F23" s="13">
        <f t="shared" si="2"/>
        <v>0</v>
      </c>
      <c r="G23" s="29" t="s">
        <v>61</v>
      </c>
      <c r="H23" s="30"/>
    </row>
    <row r="24" spans="1:9" x14ac:dyDescent="0.2">
      <c r="B24" s="13">
        <v>21900.05</v>
      </c>
      <c r="C24" s="13">
        <f>21900.05-B24-D24-E24</f>
        <v>0</v>
      </c>
      <c r="D24" s="13">
        <v>0</v>
      </c>
      <c r="E24" s="13">
        <v>0</v>
      </c>
      <c r="F24" s="13">
        <f t="shared" ref="F24" si="3">SUM(B24:E24)</f>
        <v>21900.05</v>
      </c>
      <c r="G24" s="29" t="s">
        <v>68</v>
      </c>
      <c r="H24" s="30"/>
    </row>
    <row r="25" spans="1:9" x14ac:dyDescent="0.2">
      <c r="B25" s="13">
        <v>0</v>
      </c>
      <c r="C25" s="13">
        <f>-B25-D25-E25</f>
        <v>0</v>
      </c>
      <c r="D25" s="13">
        <v>0</v>
      </c>
      <c r="E25" s="13">
        <v>0</v>
      </c>
      <c r="F25" s="13">
        <f t="shared" ref="F25" si="4">SUM(B25:E25)</f>
        <v>0</v>
      </c>
      <c r="G25" s="29" t="s">
        <v>53</v>
      </c>
      <c r="H25" s="30"/>
    </row>
    <row r="26" spans="1:9" x14ac:dyDescent="0.2">
      <c r="B26" s="13">
        <v>0</v>
      </c>
      <c r="C26" s="13">
        <f>-B26-D26-E26</f>
        <v>0</v>
      </c>
      <c r="D26" s="13">
        <v>0</v>
      </c>
      <c r="E26" s="13">
        <v>0</v>
      </c>
      <c r="F26" s="13">
        <f t="shared" ref="F26" si="5">SUM(B26:E26)</f>
        <v>0</v>
      </c>
      <c r="G26" s="29" t="s">
        <v>69</v>
      </c>
      <c r="H26" s="30"/>
    </row>
    <row r="27" spans="1:9" x14ac:dyDescent="0.2">
      <c r="B27" s="13">
        <v>0</v>
      </c>
      <c r="C27" s="13">
        <f>-B27-D27-E27</f>
        <v>0</v>
      </c>
      <c r="D27" s="13">
        <v>0</v>
      </c>
      <c r="E27" s="13">
        <v>0</v>
      </c>
      <c r="F27" s="13">
        <f t="shared" ref="F27" si="6">SUM(B27:E27)</f>
        <v>0</v>
      </c>
      <c r="G27" s="29" t="s">
        <v>22</v>
      </c>
      <c r="H27" s="30"/>
    </row>
    <row r="28" spans="1:9" x14ac:dyDescent="0.2">
      <c r="B28" s="13">
        <v>0</v>
      </c>
      <c r="C28" s="13">
        <f t="shared" ref="C28:C40" si="7">-B28-D28-E28</f>
        <v>0</v>
      </c>
      <c r="D28" s="13">
        <v>0</v>
      </c>
      <c r="E28" s="13">
        <v>0</v>
      </c>
      <c r="F28" s="13">
        <f t="shared" ref="F28:F30" si="8">SUM(B28:E28)</f>
        <v>0</v>
      </c>
      <c r="G28" s="29" t="s">
        <v>33</v>
      </c>
      <c r="H28" s="30"/>
    </row>
    <row r="29" spans="1:9" x14ac:dyDescent="0.2">
      <c r="B29" s="13">
        <v>0</v>
      </c>
      <c r="C29" s="13">
        <f t="shared" si="7"/>
        <v>0</v>
      </c>
      <c r="D29" s="13">
        <v>0</v>
      </c>
      <c r="E29" s="13">
        <v>0</v>
      </c>
      <c r="F29" s="13">
        <f t="shared" si="8"/>
        <v>0</v>
      </c>
      <c r="G29" s="29" t="s">
        <v>70</v>
      </c>
      <c r="H29" s="30"/>
    </row>
    <row r="30" spans="1:9" x14ac:dyDescent="0.2">
      <c r="B30" s="13">
        <f>-68723.9-11000</f>
        <v>-79723.899999999994</v>
      </c>
      <c r="C30" s="13">
        <v>0</v>
      </c>
      <c r="D30" s="13">
        <v>0</v>
      </c>
      <c r="E30" s="13">
        <v>68723.899999999994</v>
      </c>
      <c r="F30" s="13">
        <f t="shared" si="8"/>
        <v>-11000</v>
      </c>
      <c r="G30" s="29" t="s">
        <v>44</v>
      </c>
      <c r="H30" s="30"/>
    </row>
    <row r="31" spans="1:9" x14ac:dyDescent="0.2">
      <c r="B31" s="13">
        <v>0</v>
      </c>
      <c r="C31" s="13">
        <f t="shared" si="7"/>
        <v>0</v>
      </c>
      <c r="D31" s="13">
        <v>0</v>
      </c>
      <c r="E31" s="13">
        <v>0</v>
      </c>
      <c r="F31" s="13">
        <f t="shared" si="2"/>
        <v>0</v>
      </c>
      <c r="G31" s="29" t="s">
        <v>45</v>
      </c>
      <c r="H31" s="30"/>
    </row>
    <row r="32" spans="1:9" x14ac:dyDescent="0.2">
      <c r="B32" s="13">
        <f>-134964.15+55.05</f>
        <v>-134909.1</v>
      </c>
      <c r="C32" s="13">
        <v>0</v>
      </c>
      <c r="D32" s="13">
        <v>0</v>
      </c>
      <c r="E32" s="13">
        <v>134964.15</v>
      </c>
      <c r="F32" s="13">
        <f t="shared" ref="F32" si="9">SUM(B32:E32)</f>
        <v>55.049999999988358</v>
      </c>
      <c r="G32" s="29" t="s">
        <v>46</v>
      </c>
      <c r="H32" s="30"/>
    </row>
    <row r="33" spans="1:10" x14ac:dyDescent="0.2">
      <c r="B33" s="13">
        <v>911.6</v>
      </c>
      <c r="C33" s="13">
        <v>0</v>
      </c>
      <c r="D33" s="13">
        <v>0</v>
      </c>
      <c r="E33" s="13">
        <v>0</v>
      </c>
      <c r="F33" s="13">
        <f t="shared" ref="F33" si="10">SUM(B33:E33)</f>
        <v>911.6</v>
      </c>
      <c r="G33" s="29" t="s">
        <v>59</v>
      </c>
      <c r="H33" s="30"/>
    </row>
    <row r="34" spans="1:10" x14ac:dyDescent="0.2">
      <c r="B34" s="13">
        <v>121266.5</v>
      </c>
      <c r="C34" s="13">
        <f>121266.5-B34-D34-E34</f>
        <v>0</v>
      </c>
      <c r="D34" s="13">
        <v>0</v>
      </c>
      <c r="E34" s="13">
        <v>0</v>
      </c>
      <c r="F34" s="13">
        <f t="shared" si="2"/>
        <v>121266.5</v>
      </c>
      <c r="G34" s="29" t="s">
        <v>60</v>
      </c>
      <c r="H34" s="30"/>
    </row>
    <row r="35" spans="1:10" x14ac:dyDescent="0.2">
      <c r="B35" s="13">
        <v>69000</v>
      </c>
      <c r="C35" s="13">
        <f>69000-B35-D35-E35</f>
        <v>0</v>
      </c>
      <c r="D35" s="13">
        <v>0</v>
      </c>
      <c r="E35" s="13">
        <v>0</v>
      </c>
      <c r="F35" s="13">
        <f t="shared" ref="F35" si="11">SUM(B35:E35)</f>
        <v>69000</v>
      </c>
      <c r="G35" s="29" t="s">
        <v>47</v>
      </c>
      <c r="H35" s="30"/>
    </row>
    <row r="36" spans="1:10" x14ac:dyDescent="0.2">
      <c r="B36" s="13">
        <v>0</v>
      </c>
      <c r="C36" s="13">
        <f t="shared" ref="C36:C37" si="12">-B36-D36-E36</f>
        <v>0</v>
      </c>
      <c r="D36" s="13">
        <v>0</v>
      </c>
      <c r="E36" s="13">
        <v>0</v>
      </c>
      <c r="F36" s="13">
        <f t="shared" ref="F36:F37" si="13">SUM(B36:E36)</f>
        <v>0</v>
      </c>
      <c r="G36" s="29" t="s">
        <v>71</v>
      </c>
      <c r="H36" s="30"/>
    </row>
    <row r="37" spans="1:10" x14ac:dyDescent="0.2">
      <c r="B37" s="13">
        <v>0</v>
      </c>
      <c r="C37" s="13">
        <f t="shared" si="12"/>
        <v>0</v>
      </c>
      <c r="D37" s="13">
        <v>0</v>
      </c>
      <c r="E37" s="13">
        <v>0</v>
      </c>
      <c r="F37" s="13">
        <f t="shared" si="13"/>
        <v>0</v>
      </c>
      <c r="G37" s="29" t="s">
        <v>72</v>
      </c>
      <c r="H37" s="30"/>
    </row>
    <row r="38" spans="1:10" x14ac:dyDescent="0.2">
      <c r="B38" s="13">
        <v>0</v>
      </c>
      <c r="C38" s="13">
        <f t="shared" si="7"/>
        <v>0</v>
      </c>
      <c r="D38" s="13">
        <v>0</v>
      </c>
      <c r="E38" s="13">
        <v>0</v>
      </c>
      <c r="F38" s="13">
        <f t="shared" si="2"/>
        <v>0</v>
      </c>
      <c r="G38" s="29" t="s">
        <v>73</v>
      </c>
      <c r="H38" s="30"/>
    </row>
    <row r="39" spans="1:10" x14ac:dyDescent="0.2">
      <c r="B39" s="13">
        <v>74538.25</v>
      </c>
      <c r="C39" s="13">
        <v>-74538.25</v>
      </c>
      <c r="D39" s="13">
        <v>0</v>
      </c>
      <c r="E39" s="13">
        <v>0</v>
      </c>
      <c r="F39" s="13">
        <f t="shared" ref="F39" si="14">SUM(B39:E39)</f>
        <v>0</v>
      </c>
      <c r="G39" s="29" t="s">
        <v>55</v>
      </c>
      <c r="H39" s="30"/>
    </row>
    <row r="40" spans="1:10" x14ac:dyDescent="0.2">
      <c r="B40" s="13">
        <v>0</v>
      </c>
      <c r="C40" s="13">
        <f t="shared" si="7"/>
        <v>0</v>
      </c>
      <c r="D40" s="13">
        <v>0</v>
      </c>
      <c r="E40" s="13">
        <v>0</v>
      </c>
      <c r="F40" s="13">
        <f t="shared" si="2"/>
        <v>0</v>
      </c>
      <c r="G40" s="29" t="s">
        <v>49</v>
      </c>
      <c r="H40" s="30"/>
    </row>
    <row r="41" spans="1:10" x14ac:dyDescent="0.2">
      <c r="B41" s="13">
        <v>0</v>
      </c>
      <c r="C41" s="13">
        <v>-17138.32</v>
      </c>
      <c r="D41" s="13">
        <v>0</v>
      </c>
      <c r="E41" s="13">
        <v>17138.32</v>
      </c>
      <c r="F41" s="13">
        <f t="shared" ref="F41" si="15">SUM(B41:E41)</f>
        <v>0</v>
      </c>
      <c r="G41" s="29" t="s">
        <v>56</v>
      </c>
      <c r="H41" s="30"/>
    </row>
    <row r="42" spans="1:10" x14ac:dyDescent="0.2">
      <c r="B42" s="13">
        <v>472.5</v>
      </c>
      <c r="C42" s="13">
        <f>472.5-B42-D42-E42</f>
        <v>0</v>
      </c>
      <c r="D42" s="13">
        <v>0</v>
      </c>
      <c r="E42" s="13">
        <v>0</v>
      </c>
      <c r="F42" s="12">
        <f t="shared" si="2"/>
        <v>472.5</v>
      </c>
      <c r="G42" s="6" t="s">
        <v>57</v>
      </c>
    </row>
    <row r="43" spans="1:10" x14ac:dyDescent="0.2">
      <c r="B43" s="13">
        <v>18066.099999999999</v>
      </c>
      <c r="C43" s="13">
        <f>18066.1-B43-D43-E43</f>
        <v>0</v>
      </c>
      <c r="D43" s="13">
        <v>0</v>
      </c>
      <c r="E43" s="13">
        <v>0</v>
      </c>
      <c r="F43" s="12">
        <f t="shared" si="2"/>
        <v>18066.099999999999</v>
      </c>
      <c r="G43" s="6" t="s">
        <v>58</v>
      </c>
    </row>
    <row r="44" spans="1:10" ht="13.5" thickBot="1" x14ac:dyDescent="0.25">
      <c r="A44" t="s">
        <v>10</v>
      </c>
      <c r="B44" s="19">
        <f>SUM(B8:B43)</f>
        <v>298917.91999999993</v>
      </c>
      <c r="C44" s="19">
        <f t="shared" ref="C44:F44" si="16">SUM(C8:C43)</f>
        <v>306389.89999999997</v>
      </c>
      <c r="D44" s="19">
        <f t="shared" si="16"/>
        <v>0</v>
      </c>
      <c r="E44" s="19">
        <f t="shared" si="16"/>
        <v>285688.07</v>
      </c>
      <c r="F44" s="19">
        <f t="shared" si="16"/>
        <v>890995.8899999999</v>
      </c>
      <c r="G44" s="6"/>
    </row>
    <row r="45" spans="1:10" ht="13.5" thickTop="1" x14ac:dyDescent="0.2">
      <c r="A45" t="s">
        <v>18</v>
      </c>
      <c r="B45" s="25">
        <f>B44/F44</f>
        <v>0.3354874285671508</v>
      </c>
      <c r="C45" s="25">
        <f>C44/F44</f>
        <v>0.34387352785656511</v>
      </c>
      <c r="D45" s="25">
        <f>D44/F44</f>
        <v>0</v>
      </c>
      <c r="E45" s="25">
        <f>E44/F44</f>
        <v>0.32063904357628409</v>
      </c>
      <c r="F45" s="20"/>
    </row>
    <row r="46" spans="1:10" x14ac:dyDescent="0.2">
      <c r="B46" s="5"/>
      <c r="F46" s="5"/>
    </row>
    <row r="47" spans="1:10" ht="30" customHeight="1" x14ac:dyDescent="0.2">
      <c r="A47" s="28" t="s">
        <v>64</v>
      </c>
      <c r="B47" s="28"/>
      <c r="C47" s="28"/>
      <c r="D47" s="28"/>
      <c r="E47" s="28"/>
      <c r="F47" s="15">
        <f>3752426.05-F48-F49</f>
        <v>3551343.9699999997</v>
      </c>
      <c r="J47" s="11"/>
    </row>
    <row r="48" spans="1:10" ht="40.5" customHeight="1" x14ac:dyDescent="0.2">
      <c r="A48" s="28" t="s">
        <v>29</v>
      </c>
      <c r="B48" s="28"/>
      <c r="C48" s="28"/>
      <c r="D48" s="28"/>
      <c r="E48" s="28"/>
      <c r="F48" s="17">
        <f>C5-B44</f>
        <v>201082.08000000007</v>
      </c>
      <c r="G48" s="21" t="s">
        <v>74</v>
      </c>
    </row>
    <row r="49" spans="1:9" ht="23.25" customHeight="1" x14ac:dyDescent="0.2">
      <c r="A49" s="9" t="s">
        <v>62</v>
      </c>
      <c r="C49" s="11"/>
      <c r="D49" s="11"/>
      <c r="E49" s="11"/>
      <c r="F49" s="17">
        <v>0</v>
      </c>
      <c r="I49" s="24"/>
    </row>
    <row r="50" spans="1:9" ht="27.75" customHeight="1" thickBot="1" x14ac:dyDescent="0.25">
      <c r="A50" s="9" t="s">
        <v>63</v>
      </c>
      <c r="C50" s="11"/>
      <c r="D50" s="16"/>
      <c r="E50" s="16"/>
      <c r="F50" s="18">
        <f>SUM(F47:F49)</f>
        <v>3752426.05</v>
      </c>
      <c r="I50" s="24"/>
    </row>
    <row r="51" spans="1:9" ht="13.5" thickTop="1" x14ac:dyDescent="0.2">
      <c r="A51" s="9"/>
    </row>
    <row r="52" spans="1:9" x14ac:dyDescent="0.2">
      <c r="A52" t="s">
        <v>36</v>
      </c>
      <c r="B52" s="10"/>
    </row>
    <row r="53" spans="1:9" x14ac:dyDescent="0.2">
      <c r="A53" s="23"/>
    </row>
  </sheetData>
  <mergeCells count="4">
    <mergeCell ref="A1:G1"/>
    <mergeCell ref="B2:F2"/>
    <mergeCell ref="A47:E47"/>
    <mergeCell ref="A48:E48"/>
  </mergeCells>
  <pageMargins left="0.39" right="0.27" top="0.56000000000000005" bottom="0.17" header="0.3" footer="0.3"/>
  <pageSetup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3007-AB8D-4B47-9E96-4190F3E28B99}">
  <sheetPr>
    <pageSetUpPr fitToPage="1"/>
  </sheetPr>
  <dimension ref="A1:J53"/>
  <sheetViews>
    <sheetView tabSelected="1" topLeftCell="A17" workbookViewId="0">
      <selection activeCell="P42" sqref="P42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65</v>
      </c>
      <c r="B1" s="26"/>
      <c r="C1" s="26"/>
      <c r="D1" s="26"/>
      <c r="E1" s="26"/>
      <c r="F1" s="26"/>
      <c r="G1" s="26"/>
    </row>
    <row r="2" spans="1:10" ht="18" x14ac:dyDescent="0.25">
      <c r="B2" s="27" t="s">
        <v>75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30</v>
      </c>
      <c r="E4" s="4" t="s">
        <v>0</v>
      </c>
      <c r="G4" s="22"/>
    </row>
    <row r="5" spans="1:10" x14ac:dyDescent="0.2">
      <c r="A5" s="2"/>
      <c r="B5" s="14">
        <f>1029790.64+739931.43+21523.14</f>
        <v>1791245.21</v>
      </c>
      <c r="C5" s="8">
        <v>1000000</v>
      </c>
      <c r="D5" s="8">
        <v>0</v>
      </c>
      <c r="E5" s="8">
        <f>B5-C5-D5</f>
        <v>791245.21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512422.38</f>
        <v>512422.38</v>
      </c>
      <c r="C8" s="13">
        <f>512422.38-B8-D8-E8</f>
        <v>0</v>
      </c>
      <c r="D8" s="13">
        <v>0</v>
      </c>
      <c r="E8" s="12">
        <v>0</v>
      </c>
      <c r="F8" s="12">
        <f>SUM(B8:E8)</f>
        <v>512422.38</v>
      </c>
      <c r="G8" s="7" t="s">
        <v>77</v>
      </c>
    </row>
    <row r="9" spans="1:10" x14ac:dyDescent="0.2">
      <c r="B9" s="13">
        <v>1133.67</v>
      </c>
      <c r="C9" s="13">
        <v>0</v>
      </c>
      <c r="D9" s="13">
        <v>0</v>
      </c>
      <c r="E9" s="12">
        <v>0</v>
      </c>
      <c r="F9" s="12">
        <f t="shared" ref="F9:F21" si="0">SUM(B9:E9)</f>
        <v>1133.67</v>
      </c>
      <c r="G9" s="6" t="s">
        <v>7</v>
      </c>
    </row>
    <row r="10" spans="1:10" x14ac:dyDescent="0.2">
      <c r="B10" s="13">
        <v>4222.6400000000003</v>
      </c>
      <c r="C10" s="13">
        <f>17879.02-B10-D10-E10</f>
        <v>13656.380000000001</v>
      </c>
      <c r="D10" s="13">
        <v>0</v>
      </c>
      <c r="E10" s="12">
        <v>0</v>
      </c>
      <c r="F10" s="12">
        <f t="shared" si="0"/>
        <v>17879.02</v>
      </c>
      <c r="G10" s="6" t="s">
        <v>8</v>
      </c>
    </row>
    <row r="11" spans="1:10" x14ac:dyDescent="0.2">
      <c r="B11" s="13">
        <v>1289.48</v>
      </c>
      <c r="C11" s="13">
        <v>0</v>
      </c>
      <c r="D11" s="13">
        <v>0</v>
      </c>
      <c r="E11" s="12">
        <v>0</v>
      </c>
      <c r="F11" s="12">
        <f t="shared" si="0"/>
        <v>1289.48</v>
      </c>
      <c r="G11" s="6" t="s">
        <v>6</v>
      </c>
    </row>
    <row r="12" spans="1:10" x14ac:dyDescent="0.2">
      <c r="B12" s="13">
        <f>12003.99</f>
        <v>12003.99</v>
      </c>
      <c r="C12" s="13">
        <f>12003.99-B12-D12-E12</f>
        <v>0</v>
      </c>
      <c r="D12" s="13">
        <v>0</v>
      </c>
      <c r="E12" s="12">
        <v>0</v>
      </c>
      <c r="F12" s="12">
        <f t="shared" si="0"/>
        <v>12003.99</v>
      </c>
      <c r="G12" s="6" t="s">
        <v>78</v>
      </c>
    </row>
    <row r="13" spans="1:10" x14ac:dyDescent="0.2">
      <c r="B13" s="13">
        <v>8245.89</v>
      </c>
      <c r="C13" s="13">
        <v>0</v>
      </c>
      <c r="D13" s="13">
        <v>0</v>
      </c>
      <c r="E13" s="12">
        <v>0</v>
      </c>
      <c r="F13" s="12">
        <f t="shared" si="0"/>
        <v>8245.89</v>
      </c>
      <c r="G13" s="6" t="s">
        <v>9</v>
      </c>
    </row>
    <row r="14" spans="1:10" x14ac:dyDescent="0.2">
      <c r="B14" s="13">
        <f>590812.5*0.25</f>
        <v>147703.125</v>
      </c>
      <c r="C14" s="13">
        <f>590812.5-B14-D14-E14</f>
        <v>443109.375</v>
      </c>
      <c r="D14" s="13">
        <v>0</v>
      </c>
      <c r="E14" s="12">
        <v>0</v>
      </c>
      <c r="F14" s="12">
        <f t="shared" si="0"/>
        <v>590812.5</v>
      </c>
      <c r="G14" s="7" t="s">
        <v>76</v>
      </c>
    </row>
    <row r="15" spans="1:10" x14ac:dyDescent="0.2">
      <c r="A15" t="s">
        <v>16</v>
      </c>
      <c r="B15" s="13">
        <v>0</v>
      </c>
      <c r="C15" s="13">
        <f t="shared" ref="C15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23</v>
      </c>
    </row>
    <row r="16" spans="1:10" ht="26.25" customHeight="1" x14ac:dyDescent="0.2">
      <c r="A16" t="s">
        <v>15</v>
      </c>
      <c r="B16" s="13">
        <f>68924.35+2910.61</f>
        <v>71834.960000000006</v>
      </c>
      <c r="C16" s="13">
        <v>0</v>
      </c>
      <c r="D16" s="13">
        <v>0</v>
      </c>
      <c r="E16" s="12">
        <v>0</v>
      </c>
      <c r="F16" s="12">
        <f t="shared" si="0"/>
        <v>71834.960000000006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0</v>
      </c>
      <c r="D17" s="13">
        <v>0</v>
      </c>
      <c r="E17" s="13">
        <v>0</v>
      </c>
      <c r="F17" s="12">
        <f>SUM(B17:E17)</f>
        <v>0</v>
      </c>
      <c r="G17" s="6" t="s">
        <v>24</v>
      </c>
    </row>
    <row r="18" spans="1:9" x14ac:dyDescent="0.2">
      <c r="B18" s="13">
        <v>0</v>
      </c>
      <c r="C18" s="13">
        <v>0</v>
      </c>
      <c r="D18" s="13">
        <v>0</v>
      </c>
      <c r="E18" s="13">
        <v>0</v>
      </c>
      <c r="F18" s="12">
        <f t="shared" si="0"/>
        <v>0</v>
      </c>
      <c r="G18" s="6" t="s">
        <v>67</v>
      </c>
      <c r="I18" s="11"/>
    </row>
    <row r="19" spans="1:9" x14ac:dyDescent="0.2">
      <c r="B19" s="13">
        <v>0</v>
      </c>
      <c r="C19" s="13">
        <v>-21717.31</v>
      </c>
      <c r="D19" s="13">
        <v>0</v>
      </c>
      <c r="E19" s="13">
        <v>21717.31</v>
      </c>
      <c r="F19" s="13">
        <f>SUM(B19:E19)</f>
        <v>0</v>
      </c>
      <c r="G19" s="29" t="s">
        <v>35</v>
      </c>
      <c r="I19" s="11"/>
    </row>
    <row r="20" spans="1:9" x14ac:dyDescent="0.2">
      <c r="B20" s="13">
        <f>230607.03-172741</f>
        <v>57866.03</v>
      </c>
      <c r="C20" s="13">
        <f>230607.03-B20-D20-E20</f>
        <v>0</v>
      </c>
      <c r="D20" s="13">
        <v>0</v>
      </c>
      <c r="E20" s="13">
        <v>172741</v>
      </c>
      <c r="F20" s="12">
        <f t="shared" si="0"/>
        <v>230607.03</v>
      </c>
      <c r="G20" s="6" t="s">
        <v>40</v>
      </c>
    </row>
    <row r="21" spans="1:9" x14ac:dyDescent="0.2">
      <c r="B21" s="13">
        <f>117521.07-83007.74</f>
        <v>34513.33</v>
      </c>
      <c r="C21" s="13">
        <f>117521.07-B21-D21-E21</f>
        <v>0</v>
      </c>
      <c r="D21" s="13">
        <v>0</v>
      </c>
      <c r="E21" s="13">
        <v>83007.740000000005</v>
      </c>
      <c r="F21" s="12">
        <f t="shared" si="0"/>
        <v>117521.07</v>
      </c>
      <c r="G21" s="6" t="s">
        <v>41</v>
      </c>
    </row>
    <row r="22" spans="1:9" x14ac:dyDescent="0.2">
      <c r="B22" s="13">
        <v>-17171.75</v>
      </c>
      <c r="C22" s="13">
        <v>0</v>
      </c>
      <c r="D22" s="13">
        <v>0</v>
      </c>
      <c r="E22" s="13">
        <f>46376-3550.5</f>
        <v>42825.5</v>
      </c>
      <c r="F22" s="13">
        <f t="shared" ref="F22:F43" si="2">SUM(B22:E22)</f>
        <v>25653.75</v>
      </c>
      <c r="G22" s="29" t="s">
        <v>52</v>
      </c>
    </row>
    <row r="23" spans="1:9" x14ac:dyDescent="0.2">
      <c r="B23" s="13">
        <v>0</v>
      </c>
      <c r="C23" s="13">
        <f>-B23-D23-E23</f>
        <v>0</v>
      </c>
      <c r="D23" s="13">
        <v>0</v>
      </c>
      <c r="E23" s="13">
        <v>0</v>
      </c>
      <c r="F23" s="12">
        <f t="shared" si="2"/>
        <v>0</v>
      </c>
      <c r="G23" s="6" t="s">
        <v>61</v>
      </c>
    </row>
    <row r="24" spans="1:9" x14ac:dyDescent="0.2">
      <c r="B24" s="13">
        <v>28111.23</v>
      </c>
      <c r="C24" s="13">
        <f>28111.23-B24-D24-E24</f>
        <v>0</v>
      </c>
      <c r="D24" s="13">
        <v>0</v>
      </c>
      <c r="E24" s="13">
        <v>0</v>
      </c>
      <c r="F24" s="12">
        <f t="shared" si="2"/>
        <v>28111.23</v>
      </c>
      <c r="G24" s="6" t="s">
        <v>68</v>
      </c>
    </row>
    <row r="25" spans="1:9" x14ac:dyDescent="0.2">
      <c r="B25" s="13">
        <v>3250.92</v>
      </c>
      <c r="C25" s="13">
        <f>3250.92-B25-D25-E25</f>
        <v>0</v>
      </c>
      <c r="D25" s="13">
        <v>0</v>
      </c>
      <c r="E25" s="13">
        <v>0</v>
      </c>
      <c r="F25" s="12">
        <f t="shared" ref="F25" si="3">SUM(B25:E25)</f>
        <v>3250.92</v>
      </c>
      <c r="G25" s="6" t="s">
        <v>53</v>
      </c>
    </row>
    <row r="26" spans="1:9" x14ac:dyDescent="0.2">
      <c r="B26" s="13">
        <v>0</v>
      </c>
      <c r="C26" s="13">
        <f>-B26-D26-E26</f>
        <v>0</v>
      </c>
      <c r="D26" s="13">
        <v>0</v>
      </c>
      <c r="E26" s="13">
        <v>0</v>
      </c>
      <c r="F26" s="12">
        <f t="shared" ref="F26" si="4">SUM(B26:E26)</f>
        <v>0</v>
      </c>
      <c r="G26" s="6" t="s">
        <v>69</v>
      </c>
    </row>
    <row r="27" spans="1:9" x14ac:dyDescent="0.2">
      <c r="B27" s="13">
        <v>0</v>
      </c>
      <c r="C27" s="13">
        <f>-B27-D27-E27</f>
        <v>0</v>
      </c>
      <c r="D27" s="13">
        <v>0</v>
      </c>
      <c r="E27" s="13">
        <v>0</v>
      </c>
      <c r="F27" s="12">
        <f t="shared" ref="F27" si="5">SUM(B27:E27)</f>
        <v>0</v>
      </c>
      <c r="G27" s="6" t="s">
        <v>22</v>
      </c>
    </row>
    <row r="28" spans="1:9" x14ac:dyDescent="0.2">
      <c r="B28" s="13">
        <v>0</v>
      </c>
      <c r="C28" s="13">
        <f t="shared" ref="C28:C40" si="6">-B28-D28-E28</f>
        <v>0</v>
      </c>
      <c r="D28" s="13">
        <v>0</v>
      </c>
      <c r="E28" s="13">
        <v>0</v>
      </c>
      <c r="F28" s="12">
        <f t="shared" ref="F28:F30" si="7">SUM(B28:E28)</f>
        <v>0</v>
      </c>
      <c r="G28" s="6" t="s">
        <v>33</v>
      </c>
    </row>
    <row r="29" spans="1:9" x14ac:dyDescent="0.2">
      <c r="B29" s="13">
        <v>0</v>
      </c>
      <c r="C29" s="13">
        <f t="shared" si="6"/>
        <v>0</v>
      </c>
      <c r="D29" s="13">
        <v>0</v>
      </c>
      <c r="E29" s="13">
        <v>0</v>
      </c>
      <c r="F29" s="12">
        <f t="shared" si="7"/>
        <v>0</v>
      </c>
      <c r="G29" s="6" t="s">
        <v>70</v>
      </c>
    </row>
    <row r="30" spans="1:9" x14ac:dyDescent="0.2">
      <c r="B30" s="13">
        <f>-68723.9-11000</f>
        <v>-79723.899999999994</v>
      </c>
      <c r="C30" s="13">
        <v>0</v>
      </c>
      <c r="D30" s="13">
        <v>0</v>
      </c>
      <c r="E30" s="13">
        <v>68723.899999999994</v>
      </c>
      <c r="F30" s="12">
        <f t="shared" si="7"/>
        <v>-11000</v>
      </c>
      <c r="G30" s="6" t="s">
        <v>44</v>
      </c>
    </row>
    <row r="31" spans="1:9" x14ac:dyDescent="0.2">
      <c r="B31" s="13">
        <v>0</v>
      </c>
      <c r="C31" s="13">
        <f t="shared" si="6"/>
        <v>0</v>
      </c>
      <c r="D31" s="13">
        <v>0</v>
      </c>
      <c r="E31" s="13">
        <v>0</v>
      </c>
      <c r="F31" s="12">
        <f t="shared" si="2"/>
        <v>0</v>
      </c>
      <c r="G31" s="6" t="s">
        <v>45</v>
      </c>
    </row>
    <row r="32" spans="1:9" x14ac:dyDescent="0.2">
      <c r="B32" s="13">
        <f>-134964.15</f>
        <v>-134964.15</v>
      </c>
      <c r="C32" s="13">
        <v>0</v>
      </c>
      <c r="D32" s="13">
        <v>0</v>
      </c>
      <c r="E32" s="13">
        <v>134964.15</v>
      </c>
      <c r="F32" s="13">
        <f t="shared" ref="F32" si="8">SUM(B32:E32)</f>
        <v>0</v>
      </c>
      <c r="G32" s="29" t="s">
        <v>46</v>
      </c>
    </row>
    <row r="33" spans="1:10" x14ac:dyDescent="0.2">
      <c r="B33" s="13">
        <f>278848.4-225413</f>
        <v>53435.400000000023</v>
      </c>
      <c r="C33" s="13">
        <v>0</v>
      </c>
      <c r="D33" s="13">
        <v>0</v>
      </c>
      <c r="E33" s="13">
        <v>225413</v>
      </c>
      <c r="F33" s="13">
        <f t="shared" ref="F33" si="9">SUM(B33:E33)</f>
        <v>278848.40000000002</v>
      </c>
      <c r="G33" s="29" t="s">
        <v>59</v>
      </c>
    </row>
    <row r="34" spans="1:10" x14ac:dyDescent="0.2">
      <c r="B34" s="13">
        <v>121266.5</v>
      </c>
      <c r="C34" s="13">
        <f>121266.5-B34-D34-E34</f>
        <v>0</v>
      </c>
      <c r="D34" s="13">
        <v>0</v>
      </c>
      <c r="E34" s="13">
        <v>0</v>
      </c>
      <c r="F34" s="12">
        <f t="shared" si="2"/>
        <v>121266.5</v>
      </c>
      <c r="G34" s="6" t="s">
        <v>60</v>
      </c>
    </row>
    <row r="35" spans="1:10" x14ac:dyDescent="0.2">
      <c r="B35" s="13">
        <v>69000</v>
      </c>
      <c r="C35" s="13">
        <f>69000-B35-D35-E35</f>
        <v>0</v>
      </c>
      <c r="D35" s="13">
        <v>0</v>
      </c>
      <c r="E35" s="13">
        <v>0</v>
      </c>
      <c r="F35" s="12">
        <f t="shared" si="2"/>
        <v>69000</v>
      </c>
      <c r="G35" s="6" t="s">
        <v>47</v>
      </c>
    </row>
    <row r="36" spans="1:10" x14ac:dyDescent="0.2">
      <c r="B36" s="13">
        <v>11957</v>
      </c>
      <c r="C36" s="13">
        <f>11957-B36-D36-E36</f>
        <v>0</v>
      </c>
      <c r="D36" s="13">
        <v>0</v>
      </c>
      <c r="E36" s="13">
        <v>0</v>
      </c>
      <c r="F36" s="12">
        <f t="shared" ref="F36:F37" si="10">SUM(B36:E36)</f>
        <v>11957</v>
      </c>
      <c r="G36" s="6" t="s">
        <v>71</v>
      </c>
    </row>
    <row r="37" spans="1:10" x14ac:dyDescent="0.2">
      <c r="B37" s="13">
        <v>0</v>
      </c>
      <c r="C37" s="13">
        <f t="shared" ref="C36:C37" si="11">-B37-D37-E37</f>
        <v>0</v>
      </c>
      <c r="D37" s="13">
        <v>0</v>
      </c>
      <c r="E37" s="13">
        <v>0</v>
      </c>
      <c r="F37" s="12">
        <f t="shared" si="10"/>
        <v>0</v>
      </c>
      <c r="G37" s="6" t="s">
        <v>72</v>
      </c>
    </row>
    <row r="38" spans="1:10" x14ac:dyDescent="0.2">
      <c r="B38" s="13">
        <v>0</v>
      </c>
      <c r="C38" s="13">
        <f t="shared" si="6"/>
        <v>0</v>
      </c>
      <c r="D38" s="13">
        <v>0</v>
      </c>
      <c r="E38" s="13">
        <v>0</v>
      </c>
      <c r="F38" s="12">
        <f t="shared" si="2"/>
        <v>0</v>
      </c>
      <c r="G38" s="6" t="s">
        <v>73</v>
      </c>
    </row>
    <row r="39" spans="1:10" x14ac:dyDescent="0.2">
      <c r="B39" s="13">
        <v>74538.25</v>
      </c>
      <c r="C39" s="13">
        <v>-74538.25</v>
      </c>
      <c r="D39" s="13">
        <v>0</v>
      </c>
      <c r="E39" s="13">
        <v>0</v>
      </c>
      <c r="F39" s="13">
        <f t="shared" ref="F39" si="12">SUM(B39:E39)</f>
        <v>0</v>
      </c>
      <c r="G39" s="29" t="s">
        <v>55</v>
      </c>
    </row>
    <row r="40" spans="1:10" x14ac:dyDescent="0.2">
      <c r="B40" s="13">
        <v>0</v>
      </c>
      <c r="C40" s="13">
        <f t="shared" si="6"/>
        <v>0</v>
      </c>
      <c r="D40" s="13">
        <v>0</v>
      </c>
      <c r="E40" s="13">
        <v>0</v>
      </c>
      <c r="F40" s="12">
        <f t="shared" si="2"/>
        <v>0</v>
      </c>
      <c r="G40" s="6" t="s">
        <v>49</v>
      </c>
    </row>
    <row r="41" spans="1:10" x14ac:dyDescent="0.2">
      <c r="B41" s="13">
        <v>0</v>
      </c>
      <c r="C41" s="13">
        <v>-17138.32</v>
      </c>
      <c r="D41" s="13">
        <v>0</v>
      </c>
      <c r="E41" s="13">
        <v>17138.32</v>
      </c>
      <c r="F41" s="12">
        <f t="shared" ref="F41" si="13">SUM(B41:E41)</f>
        <v>0</v>
      </c>
      <c r="G41" s="6" t="s">
        <v>56</v>
      </c>
    </row>
    <row r="42" spans="1:10" x14ac:dyDescent="0.2">
      <c r="B42" s="13">
        <f>30474-30439</f>
        <v>35</v>
      </c>
      <c r="C42" s="13">
        <f>30474-B42-D42-E42</f>
        <v>0</v>
      </c>
      <c r="D42" s="13">
        <v>0</v>
      </c>
      <c r="E42" s="13">
        <v>30439</v>
      </c>
      <c r="F42" s="13">
        <f t="shared" si="2"/>
        <v>30474</v>
      </c>
      <c r="G42" s="6" t="s">
        <v>57</v>
      </c>
    </row>
    <row r="43" spans="1:10" x14ac:dyDescent="0.2">
      <c r="B43" s="13">
        <v>19030</v>
      </c>
      <c r="C43" s="13">
        <f>19030-B43-D43-E43</f>
        <v>0</v>
      </c>
      <c r="D43" s="13">
        <v>0</v>
      </c>
      <c r="E43" s="13">
        <v>0</v>
      </c>
      <c r="F43" s="12">
        <f t="shared" si="2"/>
        <v>19030</v>
      </c>
      <c r="G43" s="6" t="s">
        <v>58</v>
      </c>
    </row>
    <row r="44" spans="1:10" ht="13.5" thickBot="1" x14ac:dyDescent="0.25">
      <c r="A44" t="s">
        <v>10</v>
      </c>
      <c r="B44" s="19">
        <f>SUM(B8:B43)</f>
        <v>999999.995</v>
      </c>
      <c r="C44" s="19">
        <f t="shared" ref="C44:F44" si="14">SUM(C8:C43)</f>
        <v>343371.875</v>
      </c>
      <c r="D44" s="19">
        <f t="shared" si="14"/>
        <v>0</v>
      </c>
      <c r="E44" s="19">
        <f t="shared" si="14"/>
        <v>796969.91999999993</v>
      </c>
      <c r="F44" s="19">
        <f t="shared" si="14"/>
        <v>2140341.79</v>
      </c>
      <c r="G44" s="6"/>
    </row>
    <row r="45" spans="1:10" ht="13.5" thickTop="1" x14ac:dyDescent="0.2">
      <c r="A45" t="s">
        <v>18</v>
      </c>
      <c r="B45" s="25">
        <f>B44/F44</f>
        <v>0.46721509605248607</v>
      </c>
      <c r="C45" s="25">
        <f>C44/F44</f>
        <v>0.16042852436198987</v>
      </c>
      <c r="D45" s="25">
        <f>D44/F44</f>
        <v>0</v>
      </c>
      <c r="E45" s="25">
        <f>E44/F44</f>
        <v>0.37235637958552403</v>
      </c>
      <c r="F45" s="20"/>
    </row>
    <row r="46" spans="1:10" x14ac:dyDescent="0.2">
      <c r="B46" s="5"/>
      <c r="F46" s="5"/>
    </row>
    <row r="47" spans="1:10" ht="30" customHeight="1" x14ac:dyDescent="0.2">
      <c r="A47" s="28" t="s">
        <v>64</v>
      </c>
      <c r="B47" s="28"/>
      <c r="C47" s="28"/>
      <c r="D47" s="28"/>
      <c r="E47" s="28"/>
      <c r="F47" s="15">
        <f>4358663.92-F48-F49</f>
        <v>4358663.9189999998</v>
      </c>
      <c r="J47" s="11"/>
    </row>
    <row r="48" spans="1:10" ht="40.5" customHeight="1" x14ac:dyDescent="0.2">
      <c r="A48" s="28" t="s">
        <v>29</v>
      </c>
      <c r="B48" s="28"/>
      <c r="C48" s="28"/>
      <c r="D48" s="28"/>
      <c r="E48" s="28"/>
      <c r="F48" s="17">
        <f>C5-B44-0.004</f>
        <v>1.0000000046566128E-3</v>
      </c>
      <c r="G48" s="21" t="s">
        <v>74</v>
      </c>
    </row>
    <row r="49" spans="1:9" ht="23.25" customHeight="1" x14ac:dyDescent="0.2">
      <c r="A49" s="9" t="s">
        <v>62</v>
      </c>
      <c r="C49" s="11"/>
      <c r="D49" s="11"/>
      <c r="E49" s="11"/>
      <c r="F49" s="17">
        <v>0</v>
      </c>
      <c r="I49" s="24"/>
    </row>
    <row r="50" spans="1:9" ht="27.75" customHeight="1" thickBot="1" x14ac:dyDescent="0.25">
      <c r="A50" s="9" t="s">
        <v>63</v>
      </c>
      <c r="C50" s="11"/>
      <c r="D50" s="16"/>
      <c r="E50" s="16"/>
      <c r="F50" s="18">
        <f>SUM(F47:F49)</f>
        <v>4358663.92</v>
      </c>
      <c r="I50" s="24"/>
    </row>
    <row r="51" spans="1:9" ht="13.5" thickTop="1" x14ac:dyDescent="0.2">
      <c r="A51" s="9"/>
    </row>
    <row r="52" spans="1:9" x14ac:dyDescent="0.2">
      <c r="A52" t="s">
        <v>79</v>
      </c>
      <c r="B52" s="10"/>
    </row>
    <row r="53" spans="1:9" x14ac:dyDescent="0.2">
      <c r="A53" s="23"/>
    </row>
  </sheetData>
  <mergeCells count="4">
    <mergeCell ref="A1:G1"/>
    <mergeCell ref="B2:F2"/>
    <mergeCell ref="A47:E47"/>
    <mergeCell ref="A48:E48"/>
  </mergeCells>
  <pageMargins left="0.39" right="0.27" top="0.56000000000000005" bottom="0.17" header="0.3" footer="0.3"/>
  <pageSetup scale="6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989B-F022-473C-AFFA-BBE3DDCDD1B4}">
  <sheetPr>
    <pageSetUpPr fitToPage="1"/>
  </sheetPr>
  <dimension ref="A1:J56"/>
  <sheetViews>
    <sheetView topLeftCell="A8" workbookViewId="0">
      <selection activeCell="G11" sqref="G11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37</v>
      </c>
      <c r="B1" s="26"/>
      <c r="C1" s="26"/>
      <c r="D1" s="26"/>
      <c r="E1" s="26"/>
      <c r="F1" s="26"/>
      <c r="G1" s="26"/>
    </row>
    <row r="2" spans="1:10" ht="18" x14ac:dyDescent="0.25">
      <c r="B2" s="27" t="s">
        <v>50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30</v>
      </c>
      <c r="E4" s="4" t="s">
        <v>0</v>
      </c>
      <c r="G4" s="22"/>
    </row>
    <row r="5" spans="1:10" x14ac:dyDescent="0.2">
      <c r="A5" s="2"/>
      <c r="B5" s="14">
        <v>1771504.6399999999</v>
      </c>
      <c r="C5" s="8">
        <f>741714</f>
        <v>741714</v>
      </c>
      <c r="D5" s="8">
        <v>0</v>
      </c>
      <c r="E5" s="8">
        <f>B5-C5-D5</f>
        <v>1029790.6399999999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421684.85*0.2</f>
        <v>84336.97</v>
      </c>
      <c r="C8" s="13">
        <f>421684.85-B8-D8-E8</f>
        <v>337347.88</v>
      </c>
      <c r="D8" s="13">
        <v>0</v>
      </c>
      <c r="E8" s="12">
        <v>0</v>
      </c>
      <c r="F8" s="12">
        <f>SUM(B8:E8)</f>
        <v>421684.85</v>
      </c>
      <c r="G8" s="7" t="s">
        <v>25</v>
      </c>
    </row>
    <row r="9" spans="1:10" x14ac:dyDescent="0.2">
      <c r="B9" s="13">
        <v>0</v>
      </c>
      <c r="C9" s="13">
        <v>152.07</v>
      </c>
      <c r="D9" s="13">
        <v>0</v>
      </c>
      <c r="E9" s="12">
        <v>0</v>
      </c>
      <c r="F9" s="12">
        <f t="shared" ref="F9:F46" si="0">SUM(B9:E9)</f>
        <v>152.07</v>
      </c>
      <c r="G9" s="6" t="s">
        <v>7</v>
      </c>
    </row>
    <row r="10" spans="1:10" x14ac:dyDescent="0.2">
      <c r="B10" s="13">
        <v>0</v>
      </c>
      <c r="C10" s="13">
        <v>15830.92</v>
      </c>
      <c r="D10" s="13">
        <v>0</v>
      </c>
      <c r="E10" s="12">
        <v>0</v>
      </c>
      <c r="F10" s="12">
        <f t="shared" si="0"/>
        <v>15830.92</v>
      </c>
      <c r="G10" s="6" t="s">
        <v>8</v>
      </c>
    </row>
    <row r="11" spans="1:10" x14ac:dyDescent="0.2">
      <c r="B11" s="13">
        <v>0</v>
      </c>
      <c r="C11" s="13">
        <v>359.09</v>
      </c>
      <c r="D11" s="13">
        <v>0</v>
      </c>
      <c r="E11" s="12">
        <v>0</v>
      </c>
      <c r="F11" s="12">
        <f t="shared" si="0"/>
        <v>359.09</v>
      </c>
      <c r="G11" s="6" t="s">
        <v>6</v>
      </c>
    </row>
    <row r="12" spans="1:10" x14ac:dyDescent="0.2">
      <c r="B12" s="13">
        <f>12106.95*0.2</f>
        <v>2421.3900000000003</v>
      </c>
      <c r="C12" s="13">
        <f>12106.95-B12-D12-E12</f>
        <v>9685.5600000000013</v>
      </c>
      <c r="D12" s="13">
        <v>0</v>
      </c>
      <c r="E12" s="12">
        <v>0</v>
      </c>
      <c r="F12" s="12">
        <f t="shared" si="0"/>
        <v>12106.95</v>
      </c>
      <c r="G12" s="6" t="s">
        <v>32</v>
      </c>
    </row>
    <row r="13" spans="1:10" x14ac:dyDescent="0.2">
      <c r="B13" s="13">
        <v>0</v>
      </c>
      <c r="C13" s="13">
        <v>14644.05</v>
      </c>
      <c r="D13" s="13">
        <v>0</v>
      </c>
      <c r="E13" s="12">
        <v>0</v>
      </c>
      <c r="F13" s="12">
        <f t="shared" si="0"/>
        <v>14644.05</v>
      </c>
      <c r="G13" s="6" t="s">
        <v>9</v>
      </c>
    </row>
    <row r="14" spans="1:10" x14ac:dyDescent="0.2">
      <c r="B14" s="13">
        <f>486918.96*0.2</f>
        <v>97383.792000000016</v>
      </c>
      <c r="C14" s="13">
        <f>486918.96-B14-D14-E14</f>
        <v>389535.16800000001</v>
      </c>
      <c r="D14" s="13">
        <v>0</v>
      </c>
      <c r="E14" s="12">
        <v>0</v>
      </c>
      <c r="F14" s="12">
        <f t="shared" si="0"/>
        <v>486918.96</v>
      </c>
      <c r="G14" s="7" t="s">
        <v>26</v>
      </c>
    </row>
    <row r="15" spans="1:10" x14ac:dyDescent="0.2">
      <c r="A15" t="s">
        <v>16</v>
      </c>
      <c r="B15" s="13">
        <v>0</v>
      </c>
      <c r="C15" s="13">
        <f t="shared" ref="C15:C20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23</v>
      </c>
    </row>
    <row r="16" spans="1:10" ht="26.25" customHeight="1" x14ac:dyDescent="0.2">
      <c r="A16" t="s">
        <v>15</v>
      </c>
      <c r="B16" s="13">
        <f>68924.35+3195.25</f>
        <v>72119.600000000006</v>
      </c>
      <c r="C16" s="13">
        <f>68924.35+3195.25-B16-D16-E16</f>
        <v>0</v>
      </c>
      <c r="D16" s="13">
        <v>0</v>
      </c>
      <c r="E16" s="12">
        <v>0</v>
      </c>
      <c r="F16" s="12">
        <f t="shared" si="0"/>
        <v>72119.600000000006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22331.79</v>
      </c>
      <c r="D17" s="13">
        <v>0</v>
      </c>
      <c r="E17" s="13">
        <v>0</v>
      </c>
      <c r="F17" s="12">
        <f>SUM(B17:E17)</f>
        <v>22331.79</v>
      </c>
      <c r="G17" s="6" t="s">
        <v>51</v>
      </c>
    </row>
    <row r="18" spans="1:9" x14ac:dyDescent="0.2">
      <c r="B18" s="13">
        <v>-6354.34</v>
      </c>
      <c r="C18" s="13">
        <v>0</v>
      </c>
      <c r="D18" s="13">
        <v>0</v>
      </c>
      <c r="E18" s="13">
        <v>6354.34</v>
      </c>
      <c r="F18" s="12">
        <f t="shared" si="0"/>
        <v>0</v>
      </c>
      <c r="G18" s="6" t="s">
        <v>24</v>
      </c>
      <c r="I18" s="11"/>
    </row>
    <row r="19" spans="1:9" x14ac:dyDescent="0.2">
      <c r="B19" s="13">
        <v>-19199.3</v>
      </c>
      <c r="C19" s="13">
        <v>0</v>
      </c>
      <c r="D19" s="13">
        <v>0</v>
      </c>
      <c r="E19" s="13">
        <v>19199.3</v>
      </c>
      <c r="F19" s="12">
        <f t="shared" si="0"/>
        <v>0</v>
      </c>
      <c r="G19" s="6" t="s">
        <v>31</v>
      </c>
    </row>
    <row r="20" spans="1:9" x14ac:dyDescent="0.2">
      <c r="B20" s="13">
        <v>0</v>
      </c>
      <c r="C20" s="13">
        <f t="shared" si="1"/>
        <v>0</v>
      </c>
      <c r="D20" s="13">
        <v>0</v>
      </c>
      <c r="E20" s="13">
        <v>0</v>
      </c>
      <c r="F20" s="12">
        <f t="shared" si="0"/>
        <v>0</v>
      </c>
      <c r="G20" s="6" t="s">
        <v>38</v>
      </c>
    </row>
    <row r="21" spans="1:9" x14ac:dyDescent="0.2">
      <c r="B21" s="13">
        <v>0</v>
      </c>
      <c r="C21" s="13">
        <v>21717.31</v>
      </c>
      <c r="D21" s="13">
        <v>0</v>
      </c>
      <c r="E21" s="13">
        <v>0</v>
      </c>
      <c r="F21" s="12">
        <f t="shared" ref="F21:F40" si="2">SUM(B21:E21)</f>
        <v>21717.31</v>
      </c>
      <c r="G21" s="6" t="s">
        <v>35</v>
      </c>
    </row>
    <row r="22" spans="1:9" x14ac:dyDescent="0.2">
      <c r="B22" s="13">
        <v>15232.92</v>
      </c>
      <c r="C22" s="13">
        <f>15232.92-B22-D22-E22</f>
        <v>0</v>
      </c>
      <c r="D22" s="13">
        <v>0</v>
      </c>
      <c r="E22" s="13">
        <v>0</v>
      </c>
      <c r="F22" s="12">
        <f t="shared" si="2"/>
        <v>15232.92</v>
      </c>
      <c r="G22" s="6" t="s">
        <v>39</v>
      </c>
    </row>
    <row r="23" spans="1:9" x14ac:dyDescent="0.2">
      <c r="B23" s="13">
        <v>1065.58</v>
      </c>
      <c r="C23" s="13">
        <f>1065.58-B23-D23-E23</f>
        <v>0</v>
      </c>
      <c r="D23" s="13">
        <v>0</v>
      </c>
      <c r="E23" s="13">
        <v>0</v>
      </c>
      <c r="F23" s="12">
        <f t="shared" ref="F23" si="3">SUM(B23:E23)</f>
        <v>1065.58</v>
      </c>
      <c r="G23" s="6" t="s">
        <v>40</v>
      </c>
    </row>
    <row r="24" spans="1:9" x14ac:dyDescent="0.2">
      <c r="B24" s="13">
        <v>0</v>
      </c>
      <c r="C24" s="13">
        <f>-B24-D24-E24</f>
        <v>0</v>
      </c>
      <c r="D24" s="13">
        <v>0</v>
      </c>
      <c r="E24" s="13">
        <v>0</v>
      </c>
      <c r="F24" s="12">
        <f t="shared" ref="F24" si="4">SUM(B24:E24)</f>
        <v>0</v>
      </c>
      <c r="G24" s="6" t="s">
        <v>41</v>
      </c>
    </row>
    <row r="25" spans="1:9" x14ac:dyDescent="0.2">
      <c r="B25" s="13">
        <v>17136.95</v>
      </c>
      <c r="C25" s="13">
        <f>20687.45-B25-D25-E25</f>
        <v>0</v>
      </c>
      <c r="D25" s="13">
        <v>0</v>
      </c>
      <c r="E25" s="13">
        <v>3550.5</v>
      </c>
      <c r="F25" s="12">
        <f t="shared" ref="F25:F27" si="5">SUM(B25:E25)</f>
        <v>20687.45</v>
      </c>
      <c r="G25" s="6" t="s">
        <v>52</v>
      </c>
    </row>
    <row r="26" spans="1:9" x14ac:dyDescent="0.2">
      <c r="B26" s="13">
        <v>0</v>
      </c>
      <c r="C26" s="13">
        <f>26557.75-B26-D26-E26</f>
        <v>0</v>
      </c>
      <c r="D26" s="13">
        <v>0</v>
      </c>
      <c r="E26" s="13">
        <v>26557.75</v>
      </c>
      <c r="F26" s="12">
        <f t="shared" si="5"/>
        <v>26557.75</v>
      </c>
      <c r="G26" s="6" t="s">
        <v>61</v>
      </c>
    </row>
    <row r="27" spans="1:9" x14ac:dyDescent="0.2">
      <c r="B27" s="13">
        <v>0</v>
      </c>
      <c r="C27" s="13">
        <v>0</v>
      </c>
      <c r="D27" s="13">
        <v>475000</v>
      </c>
      <c r="E27" s="13">
        <v>0</v>
      </c>
      <c r="F27" s="12">
        <f t="shared" si="5"/>
        <v>475000</v>
      </c>
      <c r="G27" s="6" t="s">
        <v>53</v>
      </c>
    </row>
    <row r="28" spans="1:9" x14ac:dyDescent="0.2">
      <c r="B28" s="13">
        <v>0</v>
      </c>
      <c r="C28" s="13">
        <f>0-B28-D28-E28</f>
        <v>0</v>
      </c>
      <c r="D28" s="13">
        <v>0</v>
      </c>
      <c r="E28" s="13">
        <v>0</v>
      </c>
      <c r="F28" s="12">
        <f t="shared" si="2"/>
        <v>0</v>
      </c>
      <c r="G28" s="6" t="s">
        <v>22</v>
      </c>
    </row>
    <row r="29" spans="1:9" x14ac:dyDescent="0.2">
      <c r="B29" s="13">
        <v>0</v>
      </c>
      <c r="C29" s="13">
        <v>35637.730000000003</v>
      </c>
      <c r="D29" s="13">
        <v>0</v>
      </c>
      <c r="E29" s="13">
        <v>0</v>
      </c>
      <c r="F29" s="12">
        <f t="shared" si="2"/>
        <v>35637.730000000003</v>
      </c>
      <c r="G29" s="6" t="s">
        <v>33</v>
      </c>
    </row>
    <row r="30" spans="1:9" x14ac:dyDescent="0.2">
      <c r="B30" s="13">
        <f>0-E30</f>
        <v>0</v>
      </c>
      <c r="C30" s="13">
        <v>0</v>
      </c>
      <c r="D30" s="13">
        <v>0</v>
      </c>
      <c r="E30" s="13">
        <v>0</v>
      </c>
      <c r="F30" s="12">
        <f t="shared" si="2"/>
        <v>0</v>
      </c>
      <c r="G30" s="6" t="s">
        <v>27</v>
      </c>
    </row>
    <row r="31" spans="1:9" x14ac:dyDescent="0.2">
      <c r="B31" s="13">
        <v>0</v>
      </c>
      <c r="C31" s="13">
        <f t="shared" ref="C31:C32" si="6">-B31-D31-E31</f>
        <v>0</v>
      </c>
      <c r="D31" s="13">
        <v>0</v>
      </c>
      <c r="E31" s="13">
        <v>0</v>
      </c>
      <c r="F31" s="12">
        <f t="shared" si="2"/>
        <v>0</v>
      </c>
      <c r="G31" s="6" t="s">
        <v>42</v>
      </c>
    </row>
    <row r="32" spans="1:9" x14ac:dyDescent="0.2">
      <c r="B32" s="13">
        <v>0</v>
      </c>
      <c r="C32" s="13">
        <f t="shared" si="6"/>
        <v>0</v>
      </c>
      <c r="D32" s="13">
        <v>0</v>
      </c>
      <c r="E32" s="13">
        <v>0</v>
      </c>
      <c r="F32" s="12">
        <f t="shared" ref="F32" si="7">SUM(B32:E32)</f>
        <v>0</v>
      </c>
      <c r="G32" s="6" t="s">
        <v>43</v>
      </c>
    </row>
    <row r="33" spans="1:7" x14ac:dyDescent="0.2">
      <c r="B33" s="13">
        <v>0</v>
      </c>
      <c r="C33" s="13">
        <v>2180.0300000000002</v>
      </c>
      <c r="D33" s="13">
        <v>0</v>
      </c>
      <c r="E33" s="13">
        <v>0</v>
      </c>
      <c r="F33" s="12">
        <f t="shared" si="2"/>
        <v>2180.0300000000002</v>
      </c>
      <c r="G33" s="6" t="s">
        <v>34</v>
      </c>
    </row>
    <row r="34" spans="1:7" x14ac:dyDescent="0.2">
      <c r="B34" s="13">
        <v>74961.759999999995</v>
      </c>
      <c r="C34" s="13">
        <f>182345.54-B34-D34-E34</f>
        <v>0</v>
      </c>
      <c r="D34" s="13">
        <v>0</v>
      </c>
      <c r="E34" s="13">
        <v>107383.78</v>
      </c>
      <c r="F34" s="12">
        <f t="shared" si="2"/>
        <v>182345.53999999998</v>
      </c>
      <c r="G34" s="6" t="s">
        <v>44</v>
      </c>
    </row>
    <row r="35" spans="1:7" x14ac:dyDescent="0.2">
      <c r="B35" s="13">
        <v>0</v>
      </c>
      <c r="C35" s="13">
        <v>1270.92</v>
      </c>
      <c r="D35" s="13">
        <v>0</v>
      </c>
      <c r="E35" s="13">
        <v>0</v>
      </c>
      <c r="F35" s="12">
        <f t="shared" si="2"/>
        <v>1270.92</v>
      </c>
      <c r="G35" s="6" t="s">
        <v>45</v>
      </c>
    </row>
    <row r="36" spans="1:7" x14ac:dyDescent="0.2">
      <c r="B36" s="13">
        <v>137306.87</v>
      </c>
      <c r="C36" s="13">
        <f>1137242.41-B36-D36-E36</f>
        <v>0</v>
      </c>
      <c r="D36" s="13">
        <v>0</v>
      </c>
      <c r="E36" s="13">
        <v>999935.54</v>
      </c>
      <c r="F36" s="12">
        <f t="shared" si="2"/>
        <v>1137242.4100000001</v>
      </c>
      <c r="G36" s="6" t="s">
        <v>46</v>
      </c>
    </row>
    <row r="37" spans="1:7" x14ac:dyDescent="0.2">
      <c r="B37" s="13">
        <v>0</v>
      </c>
      <c r="C37" s="13">
        <f t="shared" ref="C37:C38" si="8">-B37-D37-E37</f>
        <v>0</v>
      </c>
      <c r="D37" s="13">
        <v>0</v>
      </c>
      <c r="E37" s="13">
        <v>0</v>
      </c>
      <c r="F37" s="12">
        <f t="shared" ref="F37:F38" si="9">SUM(B37:E37)</f>
        <v>0</v>
      </c>
      <c r="G37" s="6" t="s">
        <v>59</v>
      </c>
    </row>
    <row r="38" spans="1:7" x14ac:dyDescent="0.2">
      <c r="B38" s="13">
        <v>0</v>
      </c>
      <c r="C38" s="13">
        <f t="shared" si="8"/>
        <v>0</v>
      </c>
      <c r="D38" s="13">
        <v>0</v>
      </c>
      <c r="E38" s="13">
        <v>0</v>
      </c>
      <c r="F38" s="12">
        <f t="shared" si="9"/>
        <v>0</v>
      </c>
      <c r="G38" s="6" t="s">
        <v>60</v>
      </c>
    </row>
    <row r="39" spans="1:7" x14ac:dyDescent="0.2">
      <c r="B39" s="13">
        <v>0</v>
      </c>
      <c r="C39" s="13">
        <f t="shared" ref="C39:C40" si="10">-B39-D39-E39</f>
        <v>0</v>
      </c>
      <c r="D39" s="13">
        <v>0</v>
      </c>
      <c r="E39" s="13">
        <v>0</v>
      </c>
      <c r="F39" s="12">
        <f t="shared" si="2"/>
        <v>0</v>
      </c>
      <c r="G39" s="6" t="s">
        <v>47</v>
      </c>
    </row>
    <row r="40" spans="1:7" x14ac:dyDescent="0.2">
      <c r="B40" s="13">
        <v>0</v>
      </c>
      <c r="C40" s="13">
        <f t="shared" si="10"/>
        <v>0</v>
      </c>
      <c r="D40" s="13">
        <v>0</v>
      </c>
      <c r="E40" s="13">
        <v>0</v>
      </c>
      <c r="F40" s="12">
        <f t="shared" si="2"/>
        <v>0</v>
      </c>
      <c r="G40" s="6" t="s">
        <v>48</v>
      </c>
    </row>
    <row r="41" spans="1:7" x14ac:dyDescent="0.2">
      <c r="B41" s="13">
        <v>0</v>
      </c>
      <c r="C41" s="13">
        <v>0</v>
      </c>
      <c r="D41" s="13">
        <v>0</v>
      </c>
      <c r="E41" s="13">
        <v>0</v>
      </c>
      <c r="F41" s="12">
        <f t="shared" ref="F41:F44" si="11">SUM(B41:E41)</f>
        <v>0</v>
      </c>
      <c r="G41" s="6" t="s">
        <v>28</v>
      </c>
    </row>
    <row r="42" spans="1:7" x14ac:dyDescent="0.2">
      <c r="B42" s="13">
        <v>50475.839999999997</v>
      </c>
      <c r="C42" s="13">
        <f>125014.09-B42-D42-E42</f>
        <v>74538.25</v>
      </c>
      <c r="D42" s="13">
        <v>0</v>
      </c>
      <c r="E42" s="13">
        <v>0</v>
      </c>
      <c r="F42" s="12">
        <f t="shared" ref="F42" si="12">SUM(B42:E42)</f>
        <v>125014.09</v>
      </c>
      <c r="G42" s="6" t="s">
        <v>55</v>
      </c>
    </row>
    <row r="43" spans="1:7" x14ac:dyDescent="0.2">
      <c r="B43" s="13">
        <v>0</v>
      </c>
      <c r="C43" s="13">
        <v>0</v>
      </c>
      <c r="D43" s="13">
        <v>0</v>
      </c>
      <c r="E43" s="13">
        <v>0</v>
      </c>
      <c r="F43" s="12">
        <f t="shared" ref="F43" si="13">SUM(B43:E43)</f>
        <v>0</v>
      </c>
      <c r="G43" s="6" t="s">
        <v>49</v>
      </c>
    </row>
    <row r="44" spans="1:7" x14ac:dyDescent="0.2">
      <c r="B44" s="13">
        <v>0</v>
      </c>
      <c r="C44" s="13">
        <v>17138.32</v>
      </c>
      <c r="D44" s="13">
        <v>0</v>
      </c>
      <c r="E44" s="13">
        <v>0</v>
      </c>
      <c r="F44" s="12">
        <f t="shared" si="11"/>
        <v>17138.32</v>
      </c>
      <c r="G44" s="6" t="s">
        <v>56</v>
      </c>
    </row>
    <row r="45" spans="1:7" x14ac:dyDescent="0.2">
      <c r="B45" s="13">
        <v>0</v>
      </c>
      <c r="C45" s="13">
        <f t="shared" ref="C45" si="14">-B45-D45-E45</f>
        <v>0</v>
      </c>
      <c r="D45" s="13">
        <v>0</v>
      </c>
      <c r="E45" s="13">
        <v>0</v>
      </c>
      <c r="F45" s="12">
        <f t="shared" ref="F45" si="15">SUM(B45:E45)</f>
        <v>0</v>
      </c>
      <c r="G45" s="6" t="s">
        <v>57</v>
      </c>
    </row>
    <row r="46" spans="1:7" x14ac:dyDescent="0.2">
      <c r="B46" s="13">
        <v>0</v>
      </c>
      <c r="C46" s="13">
        <v>250</v>
      </c>
      <c r="D46" s="13">
        <v>0</v>
      </c>
      <c r="E46" s="13">
        <v>0</v>
      </c>
      <c r="F46" s="12">
        <f t="shared" si="0"/>
        <v>250</v>
      </c>
      <c r="G46" s="6" t="s">
        <v>58</v>
      </c>
    </row>
    <row r="47" spans="1:7" ht="13.5" thickBot="1" x14ac:dyDescent="0.25">
      <c r="A47" t="s">
        <v>10</v>
      </c>
      <c r="B47" s="19">
        <f>SUM(B8:B46)</f>
        <v>526888.03200000001</v>
      </c>
      <c r="C47" s="19">
        <f>SUM(C8:C46)</f>
        <v>942619.08800000011</v>
      </c>
      <c r="D47" s="19">
        <f>SUM(D8:D46)</f>
        <v>475000</v>
      </c>
      <c r="E47" s="19">
        <f>SUM(E8:E46)</f>
        <v>1162981.21</v>
      </c>
      <c r="F47" s="19">
        <f>SUM(F8:F46)</f>
        <v>3107488.3299999996</v>
      </c>
      <c r="G47" s="6"/>
    </row>
    <row r="48" spans="1:7" ht="13.5" thickTop="1" x14ac:dyDescent="0.2">
      <c r="A48" t="s">
        <v>18</v>
      </c>
      <c r="B48" s="25">
        <f>B47/F47</f>
        <v>0.16955430754586295</v>
      </c>
      <c r="C48" s="25">
        <f>C47/F47</f>
        <v>0.303337933372062</v>
      </c>
      <c r="D48" s="25">
        <f>D47/F47</f>
        <v>0.15285656760616059</v>
      </c>
      <c r="E48" s="25">
        <f>E47/F47</f>
        <v>0.37425119147591462</v>
      </c>
      <c r="F48" s="20"/>
    </row>
    <row r="49" spans="1:10" x14ac:dyDescent="0.2">
      <c r="B49" s="5"/>
      <c r="F49" s="5"/>
    </row>
    <row r="50" spans="1:10" ht="30" customHeight="1" x14ac:dyDescent="0.2">
      <c r="A50" s="28" t="s">
        <v>64</v>
      </c>
      <c r="B50" s="28"/>
      <c r="C50" s="28"/>
      <c r="D50" s="28"/>
      <c r="E50" s="28"/>
      <c r="F50" s="15">
        <f>3123454.35-F51-F52</f>
        <v>3123454.3459999999</v>
      </c>
      <c r="J50" s="11"/>
    </row>
    <row r="51" spans="1:10" ht="40.5" customHeight="1" x14ac:dyDescent="0.2">
      <c r="A51" s="28" t="s">
        <v>29</v>
      </c>
      <c r="B51" s="28"/>
      <c r="C51" s="28"/>
      <c r="D51" s="28"/>
      <c r="E51" s="28"/>
      <c r="F51" s="17">
        <f>C5-B47-214825.97+0.006</f>
        <v>3.9999999923165889E-3</v>
      </c>
      <c r="G51" s="21" t="s">
        <v>54</v>
      </c>
    </row>
    <row r="52" spans="1:10" ht="23.25" customHeight="1" x14ac:dyDescent="0.2">
      <c r="A52" s="9" t="s">
        <v>62</v>
      </c>
      <c r="C52" s="11"/>
      <c r="D52" s="11"/>
      <c r="E52" s="11"/>
      <c r="F52" s="17">
        <v>0</v>
      </c>
      <c r="I52" s="24"/>
    </row>
    <row r="53" spans="1:10" ht="27.75" customHeight="1" thickBot="1" x14ac:dyDescent="0.25">
      <c r="A53" s="9" t="s">
        <v>63</v>
      </c>
      <c r="C53" s="11"/>
      <c r="D53" s="16"/>
      <c r="E53" s="16"/>
      <c r="F53" s="18">
        <f>SUM(F50:F52)</f>
        <v>3123454.35</v>
      </c>
      <c r="I53" s="24"/>
    </row>
    <row r="54" spans="1:10" ht="13.5" thickTop="1" x14ac:dyDescent="0.2">
      <c r="A54" s="9"/>
    </row>
    <row r="55" spans="1:10" x14ac:dyDescent="0.2">
      <c r="A55" t="s">
        <v>36</v>
      </c>
      <c r="B55" s="10"/>
    </row>
    <row r="56" spans="1:10" x14ac:dyDescent="0.2">
      <c r="A56" s="23"/>
    </row>
  </sheetData>
  <mergeCells count="4">
    <mergeCell ref="A1:G1"/>
    <mergeCell ref="B2:F2"/>
    <mergeCell ref="A50:E50"/>
    <mergeCell ref="A51:E51"/>
  </mergeCells>
  <pageMargins left="0.39" right="0.27" top="0.56000000000000005" bottom="0.17" header="0.3" footer="0.3"/>
  <pageSetup scale="6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30 2025</vt:lpstr>
      <vt:lpstr>Dec 31 2025</vt:lpstr>
      <vt:lpstr>Dec 31 2024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CLERKTREAS</dc:creator>
  <cp:lastModifiedBy>Chantell Steiner</cp:lastModifiedBy>
  <cp:lastPrinted>2026-01-22T22:16:47Z</cp:lastPrinted>
  <dcterms:created xsi:type="dcterms:W3CDTF">2012-05-09T21:52:20Z</dcterms:created>
  <dcterms:modified xsi:type="dcterms:W3CDTF">2026-01-22T22:16:51Z</dcterms:modified>
</cp:coreProperties>
</file>